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blo\Desktop\4 Curso\IA en las Organizaciones\Practicas\Final\PabloIglesiasSentiment\Fecha2\"/>
    </mc:Choice>
  </mc:AlternateContent>
  <xr:revisionPtr revIDLastSave="0" documentId="13_ncr:1_{6CBD8A63-6A82-4BEF-81F5-516B6A91ECDB}" xr6:coauthVersionLast="40" xr6:coauthVersionMax="40" xr10:uidLastSave="{00000000-0000-0000-0000-000000000000}"/>
  <bookViews>
    <workbookView xWindow="0" yWindow="0" windowWidth="23040" windowHeight="8412" xr2:uid="{00000000-000D-0000-FFFF-FFFF00000000}"/>
  </bookViews>
  <sheets>
    <sheet name="Pablo Iglesias langes -filterre" sheetId="3"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306" i="3" l="1"/>
  <c r="K2306" i="3"/>
  <c r="E2306" i="3"/>
  <c r="B2306" i="3"/>
  <c r="U2305" i="3"/>
  <c r="K2305" i="3"/>
  <c r="H2305" i="3"/>
  <c r="E2305" i="3"/>
  <c r="B2305" i="3"/>
  <c r="U2304" i="3"/>
  <c r="K2304" i="3"/>
  <c r="E2304" i="3"/>
  <c r="B2304" i="3"/>
  <c r="U2303" i="3"/>
  <c r="K2303" i="3"/>
  <c r="E2303" i="3"/>
  <c r="B2303" i="3"/>
  <c r="U2302" i="3"/>
  <c r="K2302" i="3"/>
  <c r="E2302" i="3"/>
  <c r="B2302" i="3"/>
  <c r="U2301" i="3"/>
  <c r="K2301" i="3"/>
  <c r="E2301" i="3"/>
  <c r="B2301" i="3"/>
  <c r="U2300" i="3"/>
  <c r="K2300" i="3"/>
  <c r="E2300" i="3"/>
  <c r="B2300" i="3"/>
  <c r="U2299" i="3"/>
  <c r="K2299" i="3"/>
  <c r="E2299" i="3"/>
  <c r="B2299" i="3"/>
  <c r="U2298" i="3"/>
  <c r="K2298" i="3"/>
  <c r="E2298" i="3"/>
  <c r="B2298" i="3"/>
  <c r="U2297" i="3"/>
  <c r="K2297" i="3"/>
  <c r="E2297" i="3"/>
  <c r="B2297" i="3"/>
  <c r="U2296" i="3"/>
  <c r="K2296" i="3"/>
  <c r="E2296" i="3"/>
  <c r="B2296" i="3"/>
  <c r="U2295" i="3"/>
  <c r="K2295" i="3"/>
  <c r="E2295" i="3"/>
  <c r="B2295" i="3"/>
  <c r="U2294" i="3"/>
  <c r="K2294" i="3"/>
  <c r="E2294" i="3"/>
  <c r="B2294" i="3"/>
  <c r="U2293" i="3"/>
  <c r="K2293" i="3"/>
  <c r="E2293" i="3"/>
  <c r="B2293" i="3"/>
  <c r="K2292" i="3"/>
  <c r="E2292" i="3"/>
  <c r="B2292" i="3"/>
  <c r="U2291" i="3"/>
  <c r="K2291" i="3"/>
  <c r="E2291" i="3"/>
  <c r="B2291" i="3"/>
  <c r="U2290" i="3"/>
  <c r="K2290" i="3"/>
  <c r="E2290" i="3"/>
  <c r="B2290" i="3"/>
  <c r="U2289" i="3"/>
  <c r="K2289" i="3"/>
  <c r="E2289" i="3"/>
  <c r="B2289" i="3"/>
  <c r="U2288" i="3"/>
  <c r="K2288" i="3"/>
  <c r="E2288" i="3"/>
  <c r="B2288" i="3"/>
  <c r="U2287" i="3"/>
  <c r="K2287" i="3"/>
  <c r="E2287" i="3"/>
  <c r="B2287" i="3"/>
  <c r="U2286" i="3"/>
  <c r="K2286" i="3"/>
  <c r="E2286" i="3"/>
  <c r="B2286" i="3"/>
  <c r="U2285" i="3"/>
  <c r="K2285" i="3"/>
  <c r="E2285" i="3"/>
  <c r="B2285" i="3"/>
  <c r="U2284" i="3"/>
  <c r="K2284" i="3"/>
  <c r="E2284" i="3"/>
  <c r="B2284" i="3"/>
  <c r="U2283" i="3"/>
  <c r="K2283" i="3"/>
  <c r="E2283" i="3"/>
  <c r="B2283" i="3"/>
  <c r="U2282" i="3"/>
  <c r="K2282" i="3"/>
  <c r="E2282" i="3"/>
  <c r="B2282" i="3"/>
  <c r="U2281" i="3"/>
  <c r="K2281" i="3"/>
  <c r="E2281" i="3"/>
  <c r="B2281" i="3"/>
  <c r="U2280" i="3"/>
  <c r="K2280" i="3"/>
  <c r="E2280" i="3"/>
  <c r="B2280" i="3"/>
  <c r="U2279" i="3"/>
  <c r="K2279" i="3"/>
  <c r="E2279" i="3"/>
  <c r="B2279" i="3"/>
  <c r="U2278" i="3"/>
  <c r="K2278" i="3"/>
  <c r="E2278" i="3"/>
  <c r="B2278" i="3"/>
  <c r="U2277" i="3"/>
  <c r="K2277" i="3"/>
  <c r="E2277" i="3"/>
  <c r="B2277" i="3"/>
  <c r="U2276" i="3"/>
  <c r="K2276" i="3"/>
  <c r="E2276" i="3"/>
  <c r="B2276" i="3"/>
  <c r="U2275" i="3"/>
  <c r="K2275" i="3"/>
  <c r="E2275" i="3"/>
  <c r="B2275" i="3"/>
  <c r="U2274" i="3"/>
  <c r="K2274" i="3"/>
  <c r="E2274" i="3"/>
  <c r="B2274" i="3"/>
  <c r="U2273" i="3"/>
  <c r="K2273" i="3"/>
  <c r="E2273" i="3"/>
  <c r="B2273" i="3"/>
  <c r="U2272" i="3"/>
  <c r="K2272" i="3"/>
  <c r="E2272" i="3"/>
  <c r="B2272" i="3"/>
  <c r="U2271" i="3"/>
  <c r="K2271" i="3"/>
  <c r="E2271" i="3"/>
  <c r="B2271" i="3"/>
  <c r="U2270" i="3"/>
  <c r="K2270" i="3"/>
  <c r="E2270" i="3"/>
  <c r="B2270" i="3"/>
  <c r="U2269" i="3"/>
  <c r="K2269" i="3"/>
  <c r="E2269" i="3"/>
  <c r="B2269" i="3"/>
  <c r="U2268" i="3"/>
  <c r="K2268" i="3"/>
  <c r="E2268" i="3"/>
  <c r="B2268" i="3"/>
  <c r="U2267" i="3"/>
  <c r="K2267" i="3"/>
  <c r="E2267" i="3"/>
  <c r="B2267" i="3"/>
  <c r="U2266" i="3"/>
  <c r="K2266" i="3"/>
  <c r="E2266" i="3"/>
  <c r="B2266" i="3"/>
  <c r="U2265" i="3"/>
  <c r="K2265" i="3"/>
  <c r="E2265" i="3"/>
  <c r="B2265" i="3"/>
  <c r="U2264" i="3"/>
  <c r="K2264" i="3"/>
  <c r="E2264" i="3"/>
  <c r="B2264" i="3"/>
  <c r="U2263" i="3"/>
  <c r="K2263" i="3"/>
  <c r="E2263" i="3"/>
  <c r="B2263" i="3"/>
  <c r="U2262" i="3"/>
  <c r="K2262" i="3"/>
  <c r="E2262" i="3"/>
  <c r="B2262" i="3"/>
  <c r="U2261" i="3"/>
  <c r="K2261" i="3"/>
  <c r="E2261" i="3"/>
  <c r="B2261" i="3"/>
  <c r="U2260" i="3"/>
  <c r="K2260" i="3"/>
  <c r="E2260" i="3"/>
  <c r="B2260" i="3"/>
  <c r="U2259" i="3"/>
  <c r="K2259" i="3"/>
  <c r="E2259" i="3"/>
  <c r="B2259" i="3"/>
  <c r="U2258" i="3"/>
  <c r="K2258" i="3"/>
  <c r="E2258" i="3"/>
  <c r="B2258" i="3"/>
  <c r="U2257" i="3"/>
  <c r="K2257" i="3"/>
  <c r="E2257" i="3"/>
  <c r="B2257" i="3"/>
  <c r="U2256" i="3"/>
  <c r="K2256" i="3"/>
  <c r="E2256" i="3"/>
  <c r="B2256" i="3"/>
  <c r="U2255" i="3"/>
  <c r="K2255" i="3"/>
  <c r="E2255" i="3"/>
  <c r="B2255" i="3"/>
  <c r="U2254" i="3"/>
  <c r="K2254" i="3"/>
  <c r="E2254" i="3"/>
  <c r="B2254" i="3"/>
  <c r="U2253" i="3"/>
  <c r="K2253" i="3"/>
  <c r="E2253" i="3"/>
  <c r="B2253" i="3"/>
  <c r="U2252" i="3"/>
  <c r="K2252" i="3"/>
  <c r="E2252" i="3"/>
  <c r="B2252" i="3"/>
  <c r="U2251" i="3"/>
  <c r="K2251" i="3"/>
  <c r="E2251" i="3"/>
  <c r="B2251" i="3"/>
  <c r="U2250" i="3"/>
  <c r="K2250" i="3"/>
  <c r="E2250" i="3"/>
  <c r="B2250" i="3"/>
  <c r="U2249" i="3"/>
  <c r="K2249" i="3"/>
  <c r="E2249" i="3"/>
  <c r="B2249" i="3"/>
  <c r="U2248" i="3"/>
  <c r="K2248" i="3"/>
  <c r="E2248" i="3"/>
  <c r="B2248" i="3"/>
  <c r="U2247" i="3"/>
  <c r="K2247" i="3"/>
  <c r="E2247" i="3"/>
  <c r="B2247" i="3"/>
  <c r="U2246" i="3"/>
  <c r="K2246" i="3"/>
  <c r="E2246" i="3"/>
  <c r="B2246" i="3"/>
  <c r="U2245" i="3"/>
  <c r="K2245" i="3"/>
  <c r="E2245" i="3"/>
  <c r="B2245" i="3"/>
  <c r="U2244" i="3"/>
  <c r="K2244" i="3"/>
  <c r="E2244" i="3"/>
  <c r="B2244" i="3"/>
  <c r="U2243" i="3"/>
  <c r="K2243" i="3"/>
  <c r="E2243" i="3"/>
  <c r="B2243" i="3"/>
  <c r="U2242" i="3"/>
  <c r="K2242" i="3"/>
  <c r="E2242" i="3"/>
  <c r="B2242" i="3"/>
  <c r="U2241" i="3"/>
  <c r="K2241" i="3"/>
  <c r="E2241" i="3"/>
  <c r="B2241" i="3"/>
  <c r="U2240" i="3"/>
  <c r="K2240" i="3"/>
  <c r="E2240" i="3"/>
  <c r="B2240" i="3"/>
  <c r="U2239" i="3"/>
  <c r="K2239" i="3"/>
  <c r="E2239" i="3"/>
  <c r="B2239" i="3"/>
  <c r="U2238" i="3"/>
  <c r="K2238" i="3"/>
  <c r="E2238" i="3"/>
  <c r="B2238" i="3"/>
  <c r="U2237" i="3"/>
  <c r="K2237" i="3"/>
  <c r="E2237" i="3"/>
  <c r="B2237" i="3"/>
  <c r="U2236" i="3"/>
  <c r="K2236" i="3"/>
  <c r="E2236" i="3"/>
  <c r="B2236" i="3"/>
  <c r="U2235" i="3"/>
  <c r="K2235" i="3"/>
  <c r="E2235" i="3"/>
  <c r="B2235" i="3"/>
  <c r="U2234" i="3"/>
  <c r="K2234" i="3"/>
  <c r="E2234" i="3"/>
  <c r="B2234" i="3"/>
  <c r="U2233" i="3"/>
  <c r="K2233" i="3"/>
  <c r="E2233" i="3"/>
  <c r="B2233" i="3"/>
  <c r="U2232" i="3"/>
  <c r="K2232" i="3"/>
  <c r="E2232" i="3"/>
  <c r="B2232" i="3"/>
  <c r="U2231" i="3"/>
  <c r="K2231" i="3"/>
  <c r="E2231" i="3"/>
  <c r="B2231" i="3"/>
  <c r="U2230" i="3"/>
  <c r="K2230" i="3"/>
  <c r="E2230" i="3"/>
  <c r="B2230" i="3"/>
  <c r="U2229" i="3"/>
  <c r="K2229" i="3"/>
  <c r="E2229" i="3"/>
  <c r="B2229" i="3"/>
  <c r="U2228" i="3"/>
  <c r="K2228" i="3"/>
  <c r="E2228" i="3"/>
  <c r="B2228" i="3"/>
  <c r="U2227" i="3"/>
  <c r="K2227" i="3"/>
  <c r="E2227" i="3"/>
  <c r="B2227" i="3"/>
  <c r="U2226" i="3"/>
  <c r="K2226" i="3"/>
  <c r="E2226" i="3"/>
  <c r="B2226" i="3"/>
  <c r="U2225" i="3"/>
  <c r="K2225" i="3"/>
  <c r="E2225" i="3"/>
  <c r="B2225" i="3"/>
  <c r="U2224" i="3"/>
  <c r="K2224" i="3"/>
  <c r="E2224" i="3"/>
  <c r="B2224" i="3"/>
  <c r="U2223" i="3"/>
  <c r="K2223" i="3"/>
  <c r="E2223" i="3"/>
  <c r="B2223" i="3"/>
  <c r="U2222" i="3"/>
  <c r="K2222" i="3"/>
  <c r="E2222" i="3"/>
  <c r="B2222" i="3"/>
  <c r="U2221" i="3"/>
  <c r="K2221" i="3"/>
  <c r="E2221" i="3"/>
  <c r="B2221" i="3"/>
  <c r="U2220" i="3"/>
  <c r="K2220" i="3"/>
  <c r="E2220" i="3"/>
  <c r="B2220" i="3"/>
  <c r="U2219" i="3"/>
  <c r="K2219" i="3"/>
  <c r="E2219" i="3"/>
  <c r="B2219" i="3"/>
  <c r="U2218" i="3"/>
  <c r="K2218" i="3"/>
  <c r="E2218" i="3"/>
  <c r="B2218" i="3"/>
  <c r="U2217" i="3"/>
  <c r="K2217" i="3"/>
  <c r="E2217" i="3"/>
  <c r="B2217" i="3"/>
  <c r="U2216" i="3"/>
  <c r="K2216" i="3"/>
  <c r="E2216" i="3"/>
  <c r="B2216" i="3"/>
  <c r="U2215" i="3"/>
  <c r="K2215" i="3"/>
  <c r="E2215" i="3"/>
  <c r="B2215" i="3"/>
  <c r="U2214" i="3"/>
  <c r="K2214" i="3"/>
  <c r="E2214" i="3"/>
  <c r="B2214" i="3"/>
  <c r="U2213" i="3"/>
  <c r="K2213" i="3"/>
  <c r="E2213" i="3"/>
  <c r="B2213" i="3"/>
  <c r="U2212" i="3"/>
  <c r="K2212" i="3"/>
  <c r="E2212" i="3"/>
  <c r="B2212" i="3"/>
  <c r="U2211" i="3"/>
  <c r="K2211" i="3"/>
  <c r="E2211" i="3"/>
  <c r="B2211" i="3"/>
  <c r="U2210" i="3"/>
  <c r="K2210" i="3"/>
  <c r="E2210" i="3"/>
  <c r="B2210" i="3"/>
  <c r="U2209" i="3"/>
  <c r="K2209" i="3"/>
  <c r="E2209" i="3"/>
  <c r="B2209" i="3"/>
  <c r="U2208" i="3"/>
  <c r="K2208" i="3"/>
  <c r="E2208" i="3"/>
  <c r="B2208" i="3"/>
  <c r="U2207" i="3"/>
  <c r="K2207" i="3"/>
  <c r="E2207" i="3"/>
  <c r="B2207" i="3"/>
  <c r="U2206" i="3"/>
  <c r="K2206" i="3"/>
  <c r="E2206" i="3"/>
  <c r="B2206" i="3"/>
  <c r="U2205" i="3"/>
  <c r="K2205" i="3"/>
  <c r="E2205" i="3"/>
  <c r="B2205" i="3"/>
  <c r="U2204" i="3"/>
  <c r="K2204" i="3"/>
  <c r="E2204" i="3"/>
  <c r="B2204" i="3"/>
  <c r="U2203" i="3"/>
  <c r="K2203" i="3"/>
  <c r="E2203" i="3"/>
  <c r="B2203" i="3"/>
  <c r="U2202" i="3"/>
  <c r="K2202" i="3"/>
  <c r="E2202" i="3"/>
  <c r="B2202" i="3"/>
  <c r="U2201" i="3"/>
  <c r="K2201" i="3"/>
  <c r="E2201" i="3"/>
  <c r="B2201" i="3"/>
  <c r="U2200" i="3"/>
  <c r="K2200" i="3"/>
  <c r="E2200" i="3"/>
  <c r="B2200" i="3"/>
  <c r="U2199" i="3"/>
  <c r="K2199" i="3"/>
  <c r="E2199" i="3"/>
  <c r="B2199" i="3"/>
  <c r="U2198" i="3"/>
  <c r="K2198" i="3"/>
  <c r="E2198" i="3"/>
  <c r="B2198" i="3"/>
  <c r="U2197" i="3"/>
  <c r="K2197" i="3"/>
  <c r="E2197" i="3"/>
  <c r="B2197" i="3"/>
  <c r="U2196" i="3"/>
  <c r="K2196" i="3"/>
  <c r="E2196" i="3"/>
  <c r="B2196" i="3"/>
  <c r="U2195" i="3"/>
  <c r="K2195" i="3"/>
  <c r="E2195" i="3"/>
  <c r="B2195" i="3"/>
  <c r="U2194" i="3"/>
  <c r="K2194" i="3"/>
  <c r="E2194" i="3"/>
  <c r="B2194" i="3"/>
  <c r="U2193" i="3"/>
  <c r="K2193" i="3"/>
  <c r="E2193" i="3"/>
  <c r="B2193" i="3"/>
  <c r="U2192" i="3"/>
  <c r="K2192" i="3"/>
  <c r="E2192" i="3"/>
  <c r="B2192" i="3"/>
  <c r="U2191" i="3"/>
  <c r="K2191" i="3"/>
  <c r="E2191" i="3"/>
  <c r="B2191" i="3"/>
  <c r="U2190" i="3"/>
  <c r="K2190" i="3"/>
  <c r="E2190" i="3"/>
  <c r="B2190" i="3"/>
  <c r="U2189" i="3"/>
  <c r="K2189" i="3"/>
  <c r="E2189" i="3"/>
  <c r="B2189" i="3"/>
  <c r="U2188" i="3"/>
  <c r="K2188" i="3"/>
  <c r="E2188" i="3"/>
  <c r="B2188" i="3"/>
  <c r="U2187" i="3"/>
  <c r="K2187" i="3"/>
  <c r="E2187" i="3"/>
  <c r="B2187" i="3"/>
  <c r="U2186" i="3"/>
  <c r="K2186" i="3"/>
  <c r="E2186" i="3"/>
  <c r="B2186" i="3"/>
  <c r="U2185" i="3"/>
  <c r="K2185" i="3"/>
  <c r="E2185" i="3"/>
  <c r="B2185" i="3"/>
  <c r="U2184" i="3"/>
  <c r="K2184" i="3"/>
  <c r="E2184" i="3"/>
  <c r="B2184" i="3"/>
  <c r="U2183" i="3"/>
  <c r="K2183" i="3"/>
  <c r="E2183" i="3"/>
  <c r="B2183" i="3"/>
  <c r="U2182" i="3"/>
  <c r="K2182" i="3"/>
  <c r="E2182" i="3"/>
  <c r="B2182" i="3"/>
  <c r="U2181" i="3"/>
  <c r="K2181" i="3"/>
  <c r="E2181" i="3"/>
  <c r="B2181" i="3"/>
  <c r="U2180" i="3"/>
  <c r="K2180" i="3"/>
  <c r="E2180" i="3"/>
  <c r="B2180" i="3"/>
  <c r="U2179" i="3"/>
  <c r="K2179" i="3"/>
  <c r="E2179" i="3"/>
  <c r="B2179" i="3"/>
  <c r="U2178" i="3"/>
  <c r="K2178" i="3"/>
  <c r="E2178" i="3"/>
  <c r="B2178" i="3"/>
  <c r="U2177" i="3"/>
  <c r="K2177" i="3"/>
  <c r="E2177" i="3"/>
  <c r="B2177" i="3"/>
  <c r="U2176" i="3"/>
  <c r="K2176" i="3"/>
  <c r="E2176" i="3"/>
  <c r="B2176" i="3"/>
  <c r="U2175" i="3"/>
  <c r="K2175" i="3"/>
  <c r="E2175" i="3"/>
  <c r="B2175" i="3"/>
  <c r="U2174" i="3"/>
  <c r="K2174" i="3"/>
  <c r="E2174" i="3"/>
  <c r="B2174" i="3"/>
  <c r="U2173" i="3"/>
  <c r="K2173" i="3"/>
  <c r="E2173" i="3"/>
  <c r="B2173" i="3"/>
  <c r="U2172" i="3"/>
  <c r="K2172" i="3"/>
  <c r="E2172" i="3"/>
  <c r="B2172" i="3"/>
  <c r="U2171" i="3"/>
  <c r="K2171" i="3"/>
  <c r="E2171" i="3"/>
  <c r="B2171" i="3"/>
  <c r="U2170" i="3"/>
  <c r="K2170" i="3"/>
  <c r="E2170" i="3"/>
  <c r="B2170" i="3"/>
  <c r="U2169" i="3"/>
  <c r="K2169" i="3"/>
  <c r="E2169" i="3"/>
  <c r="B2169" i="3"/>
  <c r="U2168" i="3"/>
  <c r="K2168" i="3"/>
  <c r="E2168" i="3"/>
  <c r="B2168" i="3"/>
  <c r="U2167" i="3"/>
  <c r="K2167" i="3"/>
  <c r="E2167" i="3"/>
  <c r="B2167" i="3"/>
  <c r="U2166" i="3"/>
  <c r="K2166" i="3"/>
  <c r="E2166" i="3"/>
  <c r="B2166" i="3"/>
  <c r="U2165" i="3"/>
  <c r="K2165" i="3"/>
  <c r="E2165" i="3"/>
  <c r="B2165" i="3"/>
  <c r="U2164" i="3"/>
  <c r="K2164" i="3"/>
  <c r="E2164" i="3"/>
  <c r="B2164" i="3"/>
  <c r="U2163" i="3"/>
  <c r="K2163" i="3"/>
  <c r="E2163" i="3"/>
  <c r="B2163" i="3"/>
  <c r="U2162" i="3"/>
  <c r="K2162" i="3"/>
  <c r="E2162" i="3"/>
  <c r="B2162" i="3"/>
  <c r="U2161" i="3"/>
  <c r="K2161" i="3"/>
  <c r="E2161" i="3"/>
  <c r="B2161" i="3"/>
  <c r="U2160" i="3"/>
  <c r="K2160" i="3"/>
  <c r="E2160" i="3"/>
  <c r="B2160" i="3"/>
  <c r="U2159" i="3"/>
  <c r="K2159" i="3"/>
  <c r="E2159" i="3"/>
  <c r="B2159" i="3"/>
  <c r="U2158" i="3"/>
  <c r="K2158" i="3"/>
  <c r="E2158" i="3"/>
  <c r="B2158" i="3"/>
  <c r="U2157" i="3"/>
  <c r="K2157" i="3"/>
  <c r="E2157" i="3"/>
  <c r="B2157" i="3"/>
  <c r="U2156" i="3"/>
  <c r="K2156" i="3"/>
  <c r="E2156" i="3"/>
  <c r="B2156" i="3"/>
  <c r="U2155" i="3"/>
  <c r="K2155" i="3"/>
  <c r="E2155" i="3"/>
  <c r="B2155" i="3"/>
  <c r="U2154" i="3"/>
  <c r="K2154" i="3"/>
  <c r="E2154" i="3"/>
  <c r="B2154" i="3"/>
  <c r="U2153" i="3"/>
  <c r="K2153" i="3"/>
  <c r="E2153" i="3"/>
  <c r="B2153" i="3"/>
  <c r="U2152" i="3"/>
  <c r="K2152" i="3"/>
  <c r="E2152" i="3"/>
  <c r="B2152" i="3"/>
  <c r="U2151" i="3"/>
  <c r="K2151" i="3"/>
  <c r="E2151" i="3"/>
  <c r="B2151" i="3"/>
  <c r="U2150" i="3"/>
  <c r="K2150" i="3"/>
  <c r="E2150" i="3"/>
  <c r="B2150" i="3"/>
  <c r="U2149" i="3"/>
  <c r="K2149" i="3"/>
  <c r="E2149" i="3"/>
  <c r="B2149" i="3"/>
  <c r="U2148" i="3"/>
  <c r="K2148" i="3"/>
  <c r="E2148" i="3"/>
  <c r="B2148" i="3"/>
  <c r="U2147" i="3"/>
  <c r="K2147" i="3"/>
  <c r="E2147" i="3"/>
  <c r="B2147" i="3"/>
  <c r="U2146" i="3"/>
  <c r="K2146" i="3"/>
  <c r="E2146" i="3"/>
  <c r="B2146" i="3"/>
  <c r="U2145" i="3"/>
  <c r="K2145" i="3"/>
  <c r="E2145" i="3"/>
  <c r="B2145" i="3"/>
  <c r="U2144" i="3"/>
  <c r="K2144" i="3"/>
  <c r="E2144" i="3"/>
  <c r="B2144" i="3"/>
  <c r="U2143" i="3"/>
  <c r="K2143" i="3"/>
  <c r="E2143" i="3"/>
  <c r="B2143" i="3"/>
  <c r="U2142" i="3"/>
  <c r="K2142" i="3"/>
  <c r="E2142" i="3"/>
  <c r="B2142" i="3"/>
  <c r="U2141" i="3"/>
  <c r="K2141" i="3"/>
  <c r="E2141" i="3"/>
  <c r="B2141" i="3"/>
  <c r="U2140" i="3"/>
  <c r="K2140" i="3"/>
  <c r="E2140" i="3"/>
  <c r="B2140" i="3"/>
  <c r="U2139" i="3"/>
  <c r="K2139" i="3"/>
  <c r="E2139" i="3"/>
  <c r="B2139" i="3"/>
  <c r="U2138" i="3"/>
  <c r="K2138" i="3"/>
  <c r="E2138" i="3"/>
  <c r="B2138" i="3"/>
  <c r="U2137" i="3"/>
  <c r="K2137" i="3"/>
  <c r="E2137" i="3"/>
  <c r="B2137" i="3"/>
  <c r="U2136" i="3"/>
  <c r="K2136" i="3"/>
  <c r="E2136" i="3"/>
  <c r="B2136" i="3"/>
  <c r="U2135" i="3"/>
  <c r="K2135" i="3"/>
  <c r="E2135" i="3"/>
  <c r="B2135" i="3"/>
  <c r="U2134" i="3"/>
  <c r="K2134" i="3"/>
  <c r="E2134" i="3"/>
  <c r="B2134" i="3"/>
  <c r="U2133" i="3"/>
  <c r="K2133" i="3"/>
  <c r="E2133" i="3"/>
  <c r="B2133" i="3"/>
  <c r="U2132" i="3"/>
  <c r="K2132" i="3"/>
  <c r="E2132" i="3"/>
  <c r="B2132" i="3"/>
  <c r="U2131" i="3"/>
  <c r="K2131" i="3"/>
  <c r="E2131" i="3"/>
  <c r="B2131" i="3"/>
  <c r="U2130" i="3"/>
  <c r="K2130" i="3"/>
  <c r="E2130" i="3"/>
  <c r="B2130" i="3"/>
  <c r="U2129" i="3"/>
  <c r="K2129" i="3"/>
  <c r="E2129" i="3"/>
  <c r="B2129" i="3"/>
  <c r="U2128" i="3"/>
  <c r="K2128" i="3"/>
  <c r="E2128" i="3"/>
  <c r="B2128" i="3"/>
  <c r="U2127" i="3"/>
  <c r="K2127" i="3"/>
  <c r="E2127" i="3"/>
  <c r="B2127" i="3"/>
  <c r="U2126" i="3"/>
  <c r="K2126" i="3"/>
  <c r="E2126" i="3"/>
  <c r="B2126" i="3"/>
  <c r="U2125" i="3"/>
  <c r="K2125" i="3"/>
  <c r="E2125" i="3"/>
  <c r="B2125" i="3"/>
  <c r="U2124" i="3"/>
  <c r="K2124" i="3"/>
  <c r="E2124" i="3"/>
  <c r="B2124" i="3"/>
  <c r="U2123" i="3"/>
  <c r="K2123" i="3"/>
  <c r="E2123" i="3"/>
  <c r="B2123" i="3"/>
  <c r="U2122" i="3"/>
  <c r="K2122" i="3"/>
  <c r="E2122" i="3"/>
  <c r="B2122" i="3"/>
  <c r="U2121" i="3"/>
  <c r="K2121" i="3"/>
  <c r="E2121" i="3"/>
  <c r="B2121" i="3"/>
  <c r="U2120" i="3"/>
  <c r="K2120" i="3"/>
  <c r="E2120" i="3"/>
  <c r="B2120" i="3"/>
  <c r="U2119" i="3"/>
  <c r="K2119" i="3"/>
  <c r="E2119" i="3"/>
  <c r="B2119" i="3"/>
  <c r="U2118" i="3"/>
  <c r="K2118" i="3"/>
  <c r="E2118" i="3"/>
  <c r="B2118" i="3"/>
  <c r="U2117" i="3"/>
  <c r="K2117" i="3"/>
  <c r="E2117" i="3"/>
  <c r="B2117" i="3"/>
  <c r="U2116" i="3"/>
  <c r="K2116" i="3"/>
  <c r="E2116" i="3"/>
  <c r="B2116" i="3"/>
  <c r="U2115" i="3"/>
  <c r="K2115" i="3"/>
  <c r="E2115" i="3"/>
  <c r="B2115" i="3"/>
  <c r="U2114" i="3"/>
  <c r="K2114" i="3"/>
  <c r="E2114" i="3"/>
  <c r="B2114" i="3"/>
  <c r="U2113" i="3"/>
  <c r="K2113" i="3"/>
  <c r="E2113" i="3"/>
  <c r="B2113" i="3"/>
  <c r="U2112" i="3"/>
  <c r="K2112" i="3"/>
  <c r="E2112" i="3"/>
  <c r="B2112" i="3"/>
  <c r="U2111" i="3"/>
  <c r="K2111" i="3"/>
  <c r="E2111" i="3"/>
  <c r="B2111" i="3"/>
  <c r="U2110" i="3"/>
  <c r="K2110" i="3"/>
  <c r="E2110" i="3"/>
  <c r="B2110" i="3"/>
  <c r="U2109" i="3"/>
  <c r="K2109" i="3"/>
  <c r="E2109" i="3"/>
  <c r="B2109" i="3"/>
  <c r="U2108" i="3"/>
  <c r="K2108" i="3"/>
  <c r="E2108" i="3"/>
  <c r="B2108" i="3"/>
  <c r="U2107" i="3"/>
  <c r="K2107" i="3"/>
  <c r="E2107" i="3"/>
  <c r="B2107" i="3"/>
  <c r="U2106" i="3"/>
  <c r="K2106" i="3"/>
  <c r="E2106" i="3"/>
  <c r="B2106" i="3"/>
  <c r="U2105" i="3"/>
  <c r="K2105" i="3"/>
  <c r="E2105" i="3"/>
  <c r="B2105" i="3"/>
  <c r="U2104" i="3"/>
  <c r="K2104" i="3"/>
  <c r="E2104" i="3"/>
  <c r="B2104" i="3"/>
  <c r="U2103" i="3"/>
  <c r="K2103" i="3"/>
  <c r="E2103" i="3"/>
  <c r="B2103" i="3"/>
  <c r="U2102" i="3"/>
  <c r="K2102" i="3"/>
  <c r="E2102" i="3"/>
  <c r="B2102" i="3"/>
  <c r="U2101" i="3"/>
  <c r="K2101" i="3"/>
  <c r="E2101" i="3"/>
  <c r="B2101" i="3"/>
  <c r="U2100" i="3"/>
  <c r="K2100" i="3"/>
  <c r="E2100" i="3"/>
  <c r="B2100" i="3"/>
  <c r="U2099" i="3"/>
  <c r="K2099" i="3"/>
  <c r="E2099" i="3"/>
  <c r="B2099" i="3"/>
  <c r="U2098" i="3"/>
  <c r="K2098" i="3"/>
  <c r="E2098" i="3"/>
  <c r="B2098" i="3"/>
  <c r="U2097" i="3"/>
  <c r="K2097" i="3"/>
  <c r="E2097" i="3"/>
  <c r="B2097" i="3"/>
  <c r="U2096" i="3"/>
  <c r="K2096" i="3"/>
  <c r="E2096" i="3"/>
  <c r="B2096" i="3"/>
  <c r="U2095" i="3"/>
  <c r="K2095" i="3"/>
  <c r="E2095" i="3"/>
  <c r="B2095" i="3"/>
  <c r="U2094" i="3"/>
  <c r="K2094" i="3"/>
  <c r="E2094" i="3"/>
  <c r="B2094" i="3"/>
  <c r="U2093" i="3"/>
  <c r="K2093" i="3"/>
  <c r="E2093" i="3"/>
  <c r="B2093" i="3"/>
  <c r="K2092" i="3"/>
  <c r="E2092" i="3"/>
  <c r="B2092" i="3"/>
  <c r="U2091" i="3"/>
  <c r="K2091" i="3"/>
  <c r="E2091" i="3"/>
  <c r="B2091" i="3"/>
  <c r="U2090" i="3"/>
  <c r="K2090" i="3"/>
  <c r="E2090" i="3"/>
  <c r="B2090" i="3"/>
  <c r="U2089" i="3"/>
  <c r="K2089" i="3"/>
  <c r="E2089" i="3"/>
  <c r="B2089" i="3"/>
  <c r="U2088" i="3"/>
  <c r="K2088" i="3"/>
  <c r="E2088" i="3"/>
  <c r="B2088" i="3"/>
  <c r="U2087" i="3"/>
  <c r="K2087" i="3"/>
  <c r="E2087" i="3"/>
  <c r="B2087" i="3"/>
  <c r="U2086" i="3"/>
  <c r="K2086" i="3"/>
  <c r="E2086" i="3"/>
  <c r="B2086" i="3"/>
  <c r="U2085" i="3"/>
  <c r="K2085" i="3"/>
  <c r="E2085" i="3"/>
  <c r="B2085" i="3"/>
  <c r="U2084" i="3"/>
  <c r="K2084" i="3"/>
  <c r="E2084" i="3"/>
  <c r="B2084" i="3"/>
  <c r="U2083" i="3"/>
  <c r="K2083" i="3"/>
  <c r="E2083" i="3"/>
  <c r="B2083" i="3"/>
  <c r="U2082" i="3"/>
  <c r="K2082" i="3"/>
  <c r="E2082" i="3"/>
  <c r="B2082" i="3"/>
  <c r="U2081" i="3"/>
  <c r="K2081" i="3"/>
  <c r="E2081" i="3"/>
  <c r="B2081" i="3"/>
  <c r="U2080" i="3"/>
  <c r="K2080" i="3"/>
  <c r="E2080" i="3"/>
  <c r="B2080" i="3"/>
  <c r="U2079" i="3"/>
  <c r="K2079" i="3"/>
  <c r="E2079" i="3"/>
  <c r="B2079" i="3"/>
  <c r="U2078" i="3"/>
  <c r="K2078" i="3"/>
  <c r="E2078" i="3"/>
  <c r="B2078" i="3"/>
  <c r="U2077" i="3"/>
  <c r="K2077" i="3"/>
  <c r="E2077" i="3"/>
  <c r="B2077" i="3"/>
  <c r="U2076" i="3"/>
  <c r="K2076" i="3"/>
  <c r="E2076" i="3"/>
  <c r="B2076" i="3"/>
  <c r="U2075" i="3"/>
  <c r="K2075" i="3"/>
  <c r="E2075" i="3"/>
  <c r="B2075" i="3"/>
  <c r="U2074" i="3"/>
  <c r="K2074" i="3"/>
  <c r="E2074" i="3"/>
  <c r="B2074" i="3"/>
  <c r="U2073" i="3"/>
  <c r="K2073" i="3"/>
  <c r="E2073" i="3"/>
  <c r="B2073" i="3"/>
  <c r="U2072" i="3"/>
  <c r="K2072" i="3"/>
  <c r="E2072" i="3"/>
  <c r="B2072" i="3"/>
  <c r="U2071" i="3"/>
  <c r="K2071" i="3"/>
  <c r="E2071" i="3"/>
  <c r="B2071" i="3"/>
  <c r="U2070" i="3"/>
  <c r="K2070" i="3"/>
  <c r="E2070" i="3"/>
  <c r="B2070" i="3"/>
  <c r="U2069" i="3"/>
  <c r="K2069" i="3"/>
  <c r="E2069" i="3"/>
  <c r="B2069" i="3"/>
  <c r="U2068" i="3"/>
  <c r="K2068" i="3"/>
  <c r="E2068" i="3"/>
  <c r="B2068" i="3"/>
  <c r="U2067" i="3"/>
  <c r="K2067" i="3"/>
  <c r="E2067" i="3"/>
  <c r="B2067" i="3"/>
  <c r="U2066" i="3"/>
  <c r="K2066" i="3"/>
  <c r="E2066" i="3"/>
  <c r="B2066" i="3"/>
  <c r="U2065" i="3"/>
  <c r="K2065" i="3"/>
  <c r="E2065" i="3"/>
  <c r="B2065" i="3"/>
  <c r="U2064" i="3"/>
  <c r="K2064" i="3"/>
  <c r="E2064" i="3"/>
  <c r="B2064" i="3"/>
  <c r="U2063" i="3"/>
  <c r="K2063" i="3"/>
  <c r="E2063" i="3"/>
  <c r="B2063" i="3"/>
  <c r="U2062" i="3"/>
  <c r="K2062" i="3"/>
  <c r="E2062" i="3"/>
  <c r="B2062" i="3"/>
  <c r="U2061" i="3"/>
  <c r="K2061" i="3"/>
  <c r="E2061" i="3"/>
  <c r="B2061" i="3"/>
  <c r="U2060" i="3"/>
  <c r="K2060" i="3"/>
  <c r="E2060" i="3"/>
  <c r="B2060" i="3"/>
  <c r="U2059" i="3"/>
  <c r="K2059" i="3"/>
  <c r="E2059" i="3"/>
  <c r="B2059" i="3"/>
  <c r="U2058" i="3"/>
  <c r="K2058" i="3"/>
  <c r="E2058" i="3"/>
  <c r="B2058" i="3"/>
  <c r="U2057" i="3"/>
  <c r="K2057" i="3"/>
  <c r="E2057" i="3"/>
  <c r="B2057" i="3"/>
  <c r="U2056" i="3"/>
  <c r="K2056" i="3"/>
  <c r="E2056" i="3"/>
  <c r="B2056" i="3"/>
  <c r="U2055" i="3"/>
  <c r="K2055" i="3"/>
  <c r="E2055" i="3"/>
  <c r="B2055" i="3"/>
  <c r="U2054" i="3"/>
  <c r="K2054" i="3"/>
  <c r="E2054" i="3"/>
  <c r="B2054" i="3"/>
  <c r="U2053" i="3"/>
  <c r="K2053" i="3"/>
  <c r="E2053" i="3"/>
  <c r="B2053" i="3"/>
  <c r="U2052" i="3"/>
  <c r="K2052" i="3"/>
  <c r="E2052" i="3"/>
  <c r="B2052" i="3"/>
  <c r="U2051" i="3"/>
  <c r="K2051" i="3"/>
  <c r="E2051" i="3"/>
  <c r="B2051" i="3"/>
  <c r="U2050" i="3"/>
  <c r="K2050" i="3"/>
  <c r="E2050" i="3"/>
  <c r="B2050" i="3"/>
  <c r="U2049" i="3"/>
  <c r="K2049" i="3"/>
  <c r="E2049" i="3"/>
  <c r="B2049" i="3"/>
  <c r="U2048" i="3"/>
  <c r="K2048" i="3"/>
  <c r="E2048" i="3"/>
  <c r="B2048" i="3"/>
  <c r="U2047" i="3"/>
  <c r="K2047" i="3"/>
  <c r="E2047" i="3"/>
  <c r="B2047" i="3"/>
  <c r="U2046" i="3"/>
  <c r="K2046" i="3"/>
  <c r="E2046" i="3"/>
  <c r="B2046" i="3"/>
  <c r="U2045" i="3"/>
  <c r="K2045" i="3"/>
  <c r="E2045" i="3"/>
  <c r="B2045" i="3"/>
  <c r="U2044" i="3"/>
  <c r="K2044" i="3"/>
  <c r="E2044" i="3"/>
  <c r="B2044" i="3"/>
  <c r="U2043" i="3"/>
  <c r="K2043" i="3"/>
  <c r="E2043" i="3"/>
  <c r="B2043" i="3"/>
  <c r="U2042" i="3"/>
  <c r="K2042" i="3"/>
  <c r="E2042" i="3"/>
  <c r="B2042" i="3"/>
  <c r="U2041" i="3"/>
  <c r="K2041" i="3"/>
  <c r="E2041" i="3"/>
  <c r="B2041" i="3"/>
  <c r="U2040" i="3"/>
  <c r="K2040" i="3"/>
  <c r="E2040" i="3"/>
  <c r="B2040" i="3"/>
  <c r="U2039" i="3"/>
  <c r="K2039" i="3"/>
  <c r="E2039" i="3"/>
  <c r="B2039" i="3"/>
  <c r="U2038" i="3"/>
  <c r="K2038" i="3"/>
  <c r="E2038" i="3"/>
  <c r="B2038" i="3"/>
  <c r="U2037" i="3"/>
  <c r="K2037" i="3"/>
  <c r="E2037" i="3"/>
  <c r="B2037" i="3"/>
  <c r="U2036" i="3"/>
  <c r="K2036" i="3"/>
  <c r="E2036" i="3"/>
  <c r="B2036" i="3"/>
  <c r="U2035" i="3"/>
  <c r="K2035" i="3"/>
  <c r="E2035" i="3"/>
  <c r="B2035" i="3"/>
  <c r="U2034" i="3"/>
  <c r="K2034" i="3"/>
  <c r="E2034" i="3"/>
  <c r="B2034" i="3"/>
  <c r="U2033" i="3"/>
  <c r="K2033" i="3"/>
  <c r="E2033" i="3"/>
  <c r="B2033" i="3"/>
  <c r="U2032" i="3"/>
  <c r="K2032" i="3"/>
  <c r="E2032" i="3"/>
  <c r="B2032" i="3"/>
  <c r="U2031" i="3"/>
  <c r="K2031" i="3"/>
  <c r="E2031" i="3"/>
  <c r="B2031" i="3"/>
  <c r="U2030" i="3"/>
  <c r="K2030" i="3"/>
  <c r="E2030" i="3"/>
  <c r="B2030" i="3"/>
  <c r="U2029" i="3"/>
  <c r="K2029" i="3"/>
  <c r="E2029" i="3"/>
  <c r="B2029" i="3"/>
  <c r="U2028" i="3"/>
  <c r="K2028" i="3"/>
  <c r="E2028" i="3"/>
  <c r="B2028" i="3"/>
  <c r="U2027" i="3"/>
  <c r="K2027" i="3"/>
  <c r="E2027" i="3"/>
  <c r="B2027" i="3"/>
  <c r="U2026" i="3"/>
  <c r="K2026" i="3"/>
  <c r="E2026" i="3"/>
  <c r="B2026" i="3"/>
  <c r="U2025" i="3"/>
  <c r="K2025" i="3"/>
  <c r="E2025" i="3"/>
  <c r="B2025" i="3"/>
  <c r="U2024" i="3"/>
  <c r="K2024" i="3"/>
  <c r="E2024" i="3"/>
  <c r="B2024" i="3"/>
  <c r="U2023" i="3"/>
  <c r="K2023" i="3"/>
  <c r="E2023" i="3"/>
  <c r="B2023" i="3"/>
  <c r="U2022" i="3"/>
  <c r="K2022" i="3"/>
  <c r="E2022" i="3"/>
  <c r="B2022" i="3"/>
  <c r="U2021" i="3"/>
  <c r="K2021" i="3"/>
  <c r="E2021" i="3"/>
  <c r="B2021" i="3"/>
  <c r="K2020" i="3"/>
  <c r="E2020" i="3"/>
  <c r="B2020" i="3"/>
  <c r="U2019" i="3"/>
  <c r="K2019" i="3"/>
  <c r="E2019" i="3"/>
  <c r="B2019" i="3"/>
  <c r="U2018" i="3"/>
  <c r="K2018" i="3"/>
  <c r="E2018" i="3"/>
  <c r="B2018" i="3"/>
  <c r="U2017" i="3"/>
  <c r="K2017" i="3"/>
  <c r="E2017" i="3"/>
  <c r="B2017" i="3"/>
  <c r="K2016" i="3"/>
  <c r="E2016" i="3"/>
  <c r="B2016" i="3"/>
  <c r="K2015" i="3"/>
  <c r="E2015" i="3"/>
  <c r="B2015" i="3"/>
  <c r="U2014" i="3"/>
  <c r="K2014" i="3"/>
  <c r="E2014" i="3"/>
  <c r="B2014" i="3"/>
  <c r="U2013" i="3"/>
  <c r="K2013" i="3"/>
  <c r="E2013" i="3"/>
  <c r="B2013" i="3"/>
  <c r="U2012" i="3"/>
  <c r="K2012" i="3"/>
  <c r="E2012" i="3"/>
  <c r="B2012" i="3"/>
  <c r="K2011" i="3"/>
  <c r="E2011" i="3"/>
  <c r="B2011" i="3"/>
  <c r="U2010" i="3"/>
  <c r="K2010" i="3"/>
  <c r="E2010" i="3"/>
  <c r="B2010" i="3"/>
  <c r="U2009" i="3"/>
  <c r="K2009" i="3"/>
  <c r="E2009" i="3"/>
  <c r="B2009" i="3"/>
  <c r="U2008" i="3"/>
  <c r="K2008" i="3"/>
  <c r="E2008" i="3"/>
  <c r="B2008" i="3"/>
  <c r="U2007" i="3"/>
  <c r="K2007" i="3"/>
  <c r="E2007" i="3"/>
  <c r="B2007" i="3"/>
  <c r="U2006" i="3"/>
  <c r="K2006" i="3"/>
  <c r="E2006" i="3"/>
  <c r="B2006" i="3"/>
  <c r="U2005" i="3"/>
  <c r="K2005" i="3"/>
  <c r="E2005" i="3"/>
  <c r="B2005" i="3"/>
  <c r="U2004" i="3"/>
  <c r="K2004" i="3"/>
  <c r="E2004" i="3"/>
  <c r="B2004" i="3"/>
  <c r="U2003" i="3"/>
  <c r="K2003" i="3"/>
  <c r="E2003" i="3"/>
  <c r="B2003" i="3"/>
  <c r="U2002" i="3"/>
  <c r="K2002" i="3"/>
  <c r="E2002" i="3"/>
  <c r="B2002" i="3"/>
  <c r="U2001" i="3"/>
  <c r="K2001" i="3"/>
  <c r="E2001" i="3"/>
  <c r="B2001" i="3"/>
  <c r="U2000" i="3"/>
  <c r="K2000" i="3"/>
  <c r="E2000" i="3"/>
  <c r="B2000" i="3"/>
  <c r="U1999" i="3"/>
  <c r="K1999" i="3"/>
  <c r="E1999" i="3"/>
  <c r="B1999" i="3"/>
  <c r="U1998" i="3"/>
  <c r="K1998" i="3"/>
  <c r="E1998" i="3"/>
  <c r="B1998" i="3"/>
  <c r="U1997" i="3"/>
  <c r="K1997" i="3"/>
  <c r="E1997" i="3"/>
  <c r="B1997" i="3"/>
  <c r="U1996" i="3"/>
  <c r="K1996" i="3"/>
  <c r="E1996" i="3"/>
  <c r="B1996" i="3"/>
  <c r="U1995" i="3"/>
  <c r="K1995" i="3"/>
  <c r="E1995" i="3"/>
  <c r="B1995" i="3"/>
  <c r="U1994" i="3"/>
  <c r="K1994" i="3"/>
  <c r="E1994" i="3"/>
  <c r="B1994" i="3"/>
  <c r="U1993" i="3"/>
  <c r="K1993" i="3"/>
  <c r="E1993" i="3"/>
  <c r="B1993" i="3"/>
  <c r="U1992" i="3"/>
  <c r="K1992" i="3"/>
  <c r="E1992" i="3"/>
  <c r="B1992" i="3"/>
  <c r="U1991" i="3"/>
  <c r="K1991" i="3"/>
  <c r="E1991" i="3"/>
  <c r="B1991" i="3"/>
  <c r="U1990" i="3"/>
  <c r="K1990" i="3"/>
  <c r="E1990" i="3"/>
  <c r="B1990" i="3"/>
  <c r="U1989" i="3"/>
  <c r="K1989" i="3"/>
  <c r="E1989" i="3"/>
  <c r="B1989" i="3"/>
  <c r="U1988" i="3"/>
  <c r="K1988" i="3"/>
  <c r="E1988" i="3"/>
  <c r="B1988" i="3"/>
  <c r="U1987" i="3"/>
  <c r="K1987" i="3"/>
  <c r="E1987" i="3"/>
  <c r="B1987" i="3"/>
  <c r="K1986" i="3"/>
  <c r="E1986" i="3"/>
  <c r="B1986" i="3"/>
  <c r="U1985" i="3"/>
  <c r="K1985" i="3"/>
  <c r="E1985" i="3"/>
  <c r="B1985" i="3"/>
  <c r="U1984" i="3"/>
  <c r="K1984" i="3"/>
  <c r="E1984" i="3"/>
  <c r="B1984" i="3"/>
  <c r="U1983" i="3"/>
  <c r="K1983" i="3"/>
  <c r="E1983" i="3"/>
  <c r="B1983" i="3"/>
  <c r="U1982" i="3"/>
  <c r="K1982" i="3"/>
  <c r="E1982" i="3"/>
  <c r="B1982" i="3"/>
  <c r="U1981" i="3"/>
  <c r="K1981" i="3"/>
  <c r="E1981" i="3"/>
  <c r="B1981" i="3"/>
  <c r="U1980" i="3"/>
  <c r="K1980" i="3"/>
  <c r="E1980" i="3"/>
  <c r="B1980" i="3"/>
  <c r="U1979" i="3"/>
  <c r="K1979" i="3"/>
  <c r="E1979" i="3"/>
  <c r="B1979" i="3"/>
  <c r="U1978" i="3"/>
  <c r="K1978" i="3"/>
  <c r="E1978" i="3"/>
  <c r="B1978" i="3"/>
  <c r="K1977" i="3"/>
  <c r="E1977" i="3"/>
  <c r="B1977" i="3"/>
  <c r="U1976" i="3"/>
  <c r="K1976" i="3"/>
  <c r="E1976" i="3"/>
  <c r="B1976" i="3"/>
  <c r="U1975" i="3"/>
  <c r="K1975" i="3"/>
  <c r="E1975" i="3"/>
  <c r="B1975" i="3"/>
  <c r="U1974" i="3"/>
  <c r="K1974" i="3"/>
  <c r="E1974" i="3"/>
  <c r="B1974" i="3"/>
  <c r="U1973" i="3"/>
  <c r="K1973" i="3"/>
  <c r="E1973" i="3"/>
  <c r="B1973" i="3"/>
  <c r="U1972" i="3"/>
  <c r="K1972" i="3"/>
  <c r="E1972" i="3"/>
  <c r="B1972" i="3"/>
  <c r="U1971" i="3"/>
  <c r="K1971" i="3"/>
  <c r="E1971" i="3"/>
  <c r="B1971" i="3"/>
  <c r="U1970" i="3"/>
  <c r="K1970" i="3"/>
  <c r="E1970" i="3"/>
  <c r="B1970" i="3"/>
  <c r="U1969" i="3"/>
  <c r="K1969" i="3"/>
  <c r="E1969" i="3"/>
  <c r="B1969" i="3"/>
  <c r="U1968" i="3"/>
  <c r="K1968" i="3"/>
  <c r="E1968" i="3"/>
  <c r="B1968" i="3"/>
  <c r="U1967" i="3"/>
  <c r="K1967" i="3"/>
  <c r="E1967" i="3"/>
  <c r="B1967" i="3"/>
  <c r="U1966" i="3"/>
  <c r="K1966" i="3"/>
  <c r="E1966" i="3"/>
  <c r="B1966" i="3"/>
  <c r="U1965" i="3"/>
  <c r="K1965" i="3"/>
  <c r="E1965" i="3"/>
  <c r="B1965" i="3"/>
  <c r="U1964" i="3"/>
  <c r="K1964" i="3"/>
  <c r="E1964" i="3"/>
  <c r="B1964" i="3"/>
  <c r="U1963" i="3"/>
  <c r="K1963" i="3"/>
  <c r="E1963" i="3"/>
  <c r="B1963" i="3"/>
  <c r="U1962" i="3"/>
  <c r="K1962" i="3"/>
  <c r="E1962" i="3"/>
  <c r="B1962" i="3"/>
  <c r="U1961" i="3"/>
  <c r="K1961" i="3"/>
  <c r="E1961" i="3"/>
  <c r="B1961" i="3"/>
  <c r="U1960" i="3"/>
  <c r="K1960" i="3"/>
  <c r="E1960" i="3"/>
  <c r="B1960" i="3"/>
  <c r="U1959" i="3"/>
  <c r="K1959" i="3"/>
  <c r="E1959" i="3"/>
  <c r="B1959" i="3"/>
  <c r="U1958" i="3"/>
  <c r="K1958" i="3"/>
  <c r="E1958" i="3"/>
  <c r="B1958" i="3"/>
  <c r="U1957" i="3"/>
  <c r="K1957" i="3"/>
  <c r="E1957" i="3"/>
  <c r="B1957" i="3"/>
  <c r="U1956" i="3"/>
  <c r="K1956" i="3"/>
  <c r="E1956" i="3"/>
  <c r="B1956" i="3"/>
  <c r="U1955" i="3"/>
  <c r="K1955" i="3"/>
  <c r="E1955" i="3"/>
  <c r="B1955" i="3"/>
  <c r="U1954" i="3"/>
  <c r="K1954" i="3"/>
  <c r="E1954" i="3"/>
  <c r="B1954" i="3"/>
  <c r="U1953" i="3"/>
  <c r="K1953" i="3"/>
  <c r="E1953" i="3"/>
  <c r="B1953" i="3"/>
  <c r="U1952" i="3"/>
  <c r="K1952" i="3"/>
  <c r="E1952" i="3"/>
  <c r="B1952" i="3"/>
  <c r="U1951" i="3"/>
  <c r="K1951" i="3"/>
  <c r="E1951" i="3"/>
  <c r="B1951" i="3"/>
  <c r="U1950" i="3"/>
  <c r="K1950" i="3"/>
  <c r="E1950" i="3"/>
  <c r="B1950" i="3"/>
  <c r="U1949" i="3"/>
  <c r="K1949" i="3"/>
  <c r="E1949" i="3"/>
  <c r="B1949" i="3"/>
  <c r="U1948" i="3"/>
  <c r="K1948" i="3"/>
  <c r="E1948" i="3"/>
  <c r="B1948" i="3"/>
  <c r="U1947" i="3"/>
  <c r="K1947" i="3"/>
  <c r="E1947" i="3"/>
  <c r="B1947" i="3"/>
  <c r="U1946" i="3"/>
  <c r="K1946" i="3"/>
  <c r="E1946" i="3"/>
  <c r="B1946" i="3"/>
  <c r="U1945" i="3"/>
  <c r="K1945" i="3"/>
  <c r="E1945" i="3"/>
  <c r="B1945" i="3"/>
  <c r="U1944" i="3"/>
  <c r="K1944" i="3"/>
  <c r="E1944" i="3"/>
  <c r="B1944" i="3"/>
  <c r="U1943" i="3"/>
  <c r="K1943" i="3"/>
  <c r="E1943" i="3"/>
  <c r="B1943" i="3"/>
  <c r="U1942" i="3"/>
  <c r="K1942" i="3"/>
  <c r="E1942" i="3"/>
  <c r="B1942" i="3"/>
  <c r="U1941" i="3"/>
  <c r="K1941" i="3"/>
  <c r="E1941" i="3"/>
  <c r="B1941" i="3"/>
  <c r="U1940" i="3"/>
  <c r="K1940" i="3"/>
  <c r="E1940" i="3"/>
  <c r="B1940" i="3"/>
  <c r="U1939" i="3"/>
  <c r="K1939" i="3"/>
  <c r="E1939" i="3"/>
  <c r="B1939" i="3"/>
  <c r="U1938" i="3"/>
  <c r="K1938" i="3"/>
  <c r="E1938" i="3"/>
  <c r="B1938" i="3"/>
  <c r="U1937" i="3"/>
  <c r="K1937" i="3"/>
  <c r="E1937" i="3"/>
  <c r="B1937" i="3"/>
  <c r="U1936" i="3"/>
  <c r="K1936" i="3"/>
  <c r="E1936" i="3"/>
  <c r="B1936" i="3"/>
  <c r="U1935" i="3"/>
  <c r="K1935" i="3"/>
  <c r="E1935" i="3"/>
  <c r="B1935" i="3"/>
  <c r="U1934" i="3"/>
  <c r="K1934" i="3"/>
  <c r="E1934" i="3"/>
  <c r="B1934" i="3"/>
  <c r="U1933" i="3"/>
  <c r="K1933" i="3"/>
  <c r="E1933" i="3"/>
  <c r="B1933" i="3"/>
  <c r="U1932" i="3"/>
  <c r="K1932" i="3"/>
  <c r="E1932" i="3"/>
  <c r="B1932" i="3"/>
  <c r="U1931" i="3"/>
  <c r="K1931" i="3"/>
  <c r="E1931" i="3"/>
  <c r="B1931" i="3"/>
  <c r="U1930" i="3"/>
  <c r="K1930" i="3"/>
  <c r="E1930" i="3"/>
  <c r="B1930" i="3"/>
  <c r="U1929" i="3"/>
  <c r="K1929" i="3"/>
  <c r="E1929" i="3"/>
  <c r="B1929" i="3"/>
  <c r="U1928" i="3"/>
  <c r="K1928" i="3"/>
  <c r="E1928" i="3"/>
  <c r="B1928" i="3"/>
  <c r="U1927" i="3"/>
  <c r="K1927" i="3"/>
  <c r="E1927" i="3"/>
  <c r="B1927" i="3"/>
  <c r="U1926" i="3"/>
  <c r="K1926" i="3"/>
  <c r="E1926" i="3"/>
  <c r="B1926" i="3"/>
  <c r="U1925" i="3"/>
  <c r="K1925" i="3"/>
  <c r="E1925" i="3"/>
  <c r="B1925" i="3"/>
  <c r="U1924" i="3"/>
  <c r="K1924" i="3"/>
  <c r="E1924" i="3"/>
  <c r="B1924" i="3"/>
  <c r="U1923" i="3"/>
  <c r="K1923" i="3"/>
  <c r="E1923" i="3"/>
  <c r="B1923" i="3"/>
  <c r="U1922" i="3"/>
  <c r="K1922" i="3"/>
  <c r="E1922" i="3"/>
  <c r="B1922" i="3"/>
  <c r="U1921" i="3"/>
  <c r="K1921" i="3"/>
  <c r="E1921" i="3"/>
  <c r="B1921" i="3"/>
  <c r="U1920" i="3"/>
  <c r="K1920" i="3"/>
  <c r="E1920" i="3"/>
  <c r="B1920" i="3"/>
  <c r="U1919" i="3"/>
  <c r="K1919" i="3"/>
  <c r="E1919" i="3"/>
  <c r="B1919" i="3"/>
  <c r="U1918" i="3"/>
  <c r="K1918" i="3"/>
  <c r="E1918" i="3"/>
  <c r="B1918" i="3"/>
  <c r="K1917" i="3"/>
  <c r="E1917" i="3"/>
  <c r="B1917" i="3"/>
  <c r="U1916" i="3"/>
  <c r="K1916" i="3"/>
  <c r="E1916" i="3"/>
  <c r="B1916" i="3"/>
  <c r="U1915" i="3"/>
  <c r="K1915" i="3"/>
  <c r="E1915" i="3"/>
  <c r="B1915" i="3"/>
  <c r="U1914" i="3"/>
  <c r="K1914" i="3"/>
  <c r="E1914" i="3"/>
  <c r="B1914" i="3"/>
  <c r="U1913" i="3"/>
  <c r="K1913" i="3"/>
  <c r="E1913" i="3"/>
  <c r="B1913" i="3"/>
  <c r="U1912" i="3"/>
  <c r="K1912" i="3"/>
  <c r="E1912" i="3"/>
  <c r="B1912" i="3"/>
  <c r="U1911" i="3"/>
  <c r="K1911" i="3"/>
  <c r="E1911" i="3"/>
  <c r="B1911" i="3"/>
  <c r="U1910" i="3"/>
  <c r="K1910" i="3"/>
  <c r="E1910" i="3"/>
  <c r="B1910" i="3"/>
  <c r="U1909" i="3"/>
  <c r="K1909" i="3"/>
  <c r="E1909" i="3"/>
  <c r="B1909" i="3"/>
  <c r="U1908" i="3"/>
  <c r="K1908" i="3"/>
  <c r="E1908" i="3"/>
  <c r="B1908" i="3"/>
  <c r="U1907" i="3"/>
  <c r="K1907" i="3"/>
  <c r="E1907" i="3"/>
  <c r="B1907" i="3"/>
  <c r="U1906" i="3"/>
  <c r="K1906" i="3"/>
  <c r="E1906" i="3"/>
  <c r="B1906" i="3"/>
  <c r="U1905" i="3"/>
  <c r="K1905" i="3"/>
  <c r="E1905" i="3"/>
  <c r="B1905" i="3"/>
  <c r="U1904" i="3"/>
  <c r="K1904" i="3"/>
  <c r="E1904" i="3"/>
  <c r="B1904" i="3"/>
  <c r="U1903" i="3"/>
  <c r="K1903" i="3"/>
  <c r="E1903" i="3"/>
  <c r="B1903" i="3"/>
  <c r="U1902" i="3"/>
  <c r="K1902" i="3"/>
  <c r="E1902" i="3"/>
  <c r="B1902" i="3"/>
  <c r="U1901" i="3"/>
  <c r="K1901" i="3"/>
  <c r="E1901" i="3"/>
  <c r="B1901" i="3"/>
  <c r="K1900" i="3"/>
  <c r="E1900" i="3"/>
  <c r="B1900" i="3"/>
  <c r="U1899" i="3"/>
  <c r="K1899" i="3"/>
  <c r="E1899" i="3"/>
  <c r="B1899" i="3"/>
  <c r="U1898" i="3"/>
  <c r="K1898" i="3"/>
  <c r="E1898" i="3"/>
  <c r="B1898" i="3"/>
  <c r="U1897" i="3"/>
  <c r="K1897" i="3"/>
  <c r="E1897" i="3"/>
  <c r="B1897" i="3"/>
  <c r="U1896" i="3"/>
  <c r="K1896" i="3"/>
  <c r="E1896" i="3"/>
  <c r="B1896" i="3"/>
  <c r="U1895" i="3"/>
  <c r="K1895" i="3"/>
  <c r="E1895" i="3"/>
  <c r="B1895" i="3"/>
  <c r="U1894" i="3"/>
  <c r="K1894" i="3"/>
  <c r="E1894" i="3"/>
  <c r="B1894" i="3"/>
  <c r="U1893" i="3"/>
  <c r="K1893" i="3"/>
  <c r="E1893" i="3"/>
  <c r="B1893" i="3"/>
  <c r="U1892" i="3"/>
  <c r="K1892" i="3"/>
  <c r="E1892" i="3"/>
  <c r="B1892" i="3"/>
  <c r="U1891" i="3"/>
  <c r="K1891" i="3"/>
  <c r="E1891" i="3"/>
  <c r="B1891" i="3"/>
  <c r="U1890" i="3"/>
  <c r="K1890" i="3"/>
  <c r="E1890" i="3"/>
  <c r="B1890" i="3"/>
  <c r="U1889" i="3"/>
  <c r="K1889" i="3"/>
  <c r="E1889" i="3"/>
  <c r="B1889" i="3"/>
  <c r="U1888" i="3"/>
  <c r="K1888" i="3"/>
  <c r="E1888" i="3"/>
  <c r="B1888" i="3"/>
  <c r="U1887" i="3"/>
  <c r="K1887" i="3"/>
  <c r="E1887" i="3"/>
  <c r="B1887" i="3"/>
  <c r="U1886" i="3"/>
  <c r="K1886" i="3"/>
  <c r="E1886" i="3"/>
  <c r="B1886" i="3"/>
  <c r="U1885" i="3"/>
  <c r="K1885" i="3"/>
  <c r="E1885" i="3"/>
  <c r="B1885" i="3"/>
  <c r="U1884" i="3"/>
  <c r="K1884" i="3"/>
  <c r="E1884" i="3"/>
  <c r="B1884" i="3"/>
  <c r="U1883" i="3"/>
  <c r="K1883" i="3"/>
  <c r="E1883" i="3"/>
  <c r="B1883" i="3"/>
  <c r="U1882" i="3"/>
  <c r="K1882" i="3"/>
  <c r="E1882" i="3"/>
  <c r="B1882" i="3"/>
  <c r="U1881" i="3"/>
  <c r="K1881" i="3"/>
  <c r="E1881" i="3"/>
  <c r="B1881" i="3"/>
  <c r="U1880" i="3"/>
  <c r="K1880" i="3"/>
  <c r="E1880" i="3"/>
  <c r="B1880" i="3"/>
  <c r="U1879" i="3"/>
  <c r="K1879" i="3"/>
  <c r="E1879" i="3"/>
  <c r="B1879" i="3"/>
  <c r="U1878" i="3"/>
  <c r="K1878" i="3"/>
  <c r="E1878" i="3"/>
  <c r="B1878" i="3"/>
  <c r="U1877" i="3"/>
  <c r="K1877" i="3"/>
  <c r="E1877" i="3"/>
  <c r="B1877" i="3"/>
  <c r="U1876" i="3"/>
  <c r="K1876" i="3"/>
  <c r="E1876" i="3"/>
  <c r="B1876" i="3"/>
  <c r="U1875" i="3"/>
  <c r="K1875" i="3"/>
  <c r="E1875" i="3"/>
  <c r="B1875" i="3"/>
  <c r="U1874" i="3"/>
  <c r="K1874" i="3"/>
  <c r="E1874" i="3"/>
  <c r="B1874" i="3"/>
  <c r="U1873" i="3"/>
  <c r="K1873" i="3"/>
  <c r="E1873" i="3"/>
  <c r="B1873" i="3"/>
  <c r="U1872" i="3"/>
  <c r="K1872" i="3"/>
  <c r="E1872" i="3"/>
  <c r="B1872" i="3"/>
  <c r="U1871" i="3"/>
  <c r="K1871" i="3"/>
  <c r="E1871" i="3"/>
  <c r="B1871" i="3"/>
  <c r="U1870" i="3"/>
  <c r="K1870" i="3"/>
  <c r="E1870" i="3"/>
  <c r="B1870" i="3"/>
  <c r="U1869" i="3"/>
  <c r="K1869" i="3"/>
  <c r="E1869" i="3"/>
  <c r="B1869" i="3"/>
  <c r="U1868" i="3"/>
  <c r="K1868" i="3"/>
  <c r="E1868" i="3"/>
  <c r="B1868" i="3"/>
  <c r="U1867" i="3"/>
  <c r="K1867" i="3"/>
  <c r="E1867" i="3"/>
  <c r="B1867" i="3"/>
  <c r="U1866" i="3"/>
  <c r="K1866" i="3"/>
  <c r="E1866" i="3"/>
  <c r="B1866" i="3"/>
  <c r="U1865" i="3"/>
  <c r="K1865" i="3"/>
  <c r="E1865" i="3"/>
  <c r="B1865" i="3"/>
  <c r="U1864" i="3"/>
  <c r="K1864" i="3"/>
  <c r="E1864" i="3"/>
  <c r="B1864" i="3"/>
  <c r="U1863" i="3"/>
  <c r="K1863" i="3"/>
  <c r="E1863" i="3"/>
  <c r="B1863" i="3"/>
  <c r="U1862" i="3"/>
  <c r="K1862" i="3"/>
  <c r="E1862" i="3"/>
  <c r="B1862" i="3"/>
  <c r="U1861" i="3"/>
  <c r="K1861" i="3"/>
  <c r="E1861" i="3"/>
  <c r="B1861" i="3"/>
  <c r="U1860" i="3"/>
  <c r="K1860" i="3"/>
  <c r="E1860" i="3"/>
  <c r="B1860" i="3"/>
  <c r="U1859" i="3"/>
  <c r="K1859" i="3"/>
  <c r="E1859" i="3"/>
  <c r="B1859" i="3"/>
  <c r="U1858" i="3"/>
  <c r="K1858" i="3"/>
  <c r="E1858" i="3"/>
  <c r="B1858" i="3"/>
  <c r="U1857" i="3"/>
  <c r="K1857" i="3"/>
  <c r="E1857" i="3"/>
  <c r="B1857" i="3"/>
  <c r="U1856" i="3"/>
  <c r="K1856" i="3"/>
  <c r="E1856" i="3"/>
  <c r="B1856" i="3"/>
  <c r="U1855" i="3"/>
  <c r="K1855" i="3"/>
  <c r="E1855" i="3"/>
  <c r="B1855" i="3"/>
  <c r="U1854" i="3"/>
  <c r="K1854" i="3"/>
  <c r="E1854" i="3"/>
  <c r="B1854" i="3"/>
  <c r="U1853" i="3"/>
  <c r="K1853" i="3"/>
  <c r="E1853" i="3"/>
  <c r="B1853" i="3"/>
  <c r="K1852" i="3"/>
  <c r="E1852" i="3"/>
  <c r="B1852" i="3"/>
  <c r="U1851" i="3"/>
  <c r="K1851" i="3"/>
  <c r="E1851" i="3"/>
  <c r="B1851" i="3"/>
  <c r="U1850" i="3"/>
  <c r="K1850" i="3"/>
  <c r="E1850" i="3"/>
  <c r="B1850" i="3"/>
  <c r="U1849" i="3"/>
  <c r="K1849" i="3"/>
  <c r="E1849" i="3"/>
  <c r="B1849" i="3"/>
  <c r="U1848" i="3"/>
  <c r="K1848" i="3"/>
  <c r="E1848" i="3"/>
  <c r="B1848" i="3"/>
  <c r="U1847" i="3"/>
  <c r="K1847" i="3"/>
  <c r="E1847" i="3"/>
  <c r="B1847" i="3"/>
  <c r="U1846" i="3"/>
  <c r="K1846" i="3"/>
  <c r="E1846" i="3"/>
  <c r="B1846" i="3"/>
  <c r="U1845" i="3"/>
  <c r="K1845" i="3"/>
  <c r="E1845" i="3"/>
  <c r="B1845" i="3"/>
  <c r="U1844" i="3"/>
  <c r="K1844" i="3"/>
  <c r="E1844" i="3"/>
  <c r="B1844" i="3"/>
  <c r="U1843" i="3"/>
  <c r="K1843" i="3"/>
  <c r="E1843" i="3"/>
  <c r="B1843" i="3"/>
  <c r="U1842" i="3"/>
  <c r="K1842" i="3"/>
  <c r="E1842" i="3"/>
  <c r="B1842" i="3"/>
  <c r="U1841" i="3"/>
  <c r="K1841" i="3"/>
  <c r="E1841" i="3"/>
  <c r="B1841" i="3"/>
  <c r="U1840" i="3"/>
  <c r="K1840" i="3"/>
  <c r="E1840" i="3"/>
  <c r="B1840" i="3"/>
  <c r="U1839" i="3"/>
  <c r="K1839" i="3"/>
  <c r="E1839" i="3"/>
  <c r="B1839" i="3"/>
  <c r="U1838" i="3"/>
  <c r="K1838" i="3"/>
  <c r="E1838" i="3"/>
  <c r="B1838" i="3"/>
  <c r="U1837" i="3"/>
  <c r="K1837" i="3"/>
  <c r="E1837" i="3"/>
  <c r="B1837" i="3"/>
  <c r="U1836" i="3"/>
  <c r="K1836" i="3"/>
  <c r="E1836" i="3"/>
  <c r="B1836" i="3"/>
  <c r="U1835" i="3"/>
  <c r="K1835" i="3"/>
  <c r="E1835" i="3"/>
  <c r="B1835" i="3"/>
  <c r="U1834" i="3"/>
  <c r="K1834" i="3"/>
  <c r="E1834" i="3"/>
  <c r="B1834" i="3"/>
  <c r="U1833" i="3"/>
  <c r="K1833" i="3"/>
  <c r="E1833" i="3"/>
  <c r="B1833" i="3"/>
  <c r="U1832" i="3"/>
  <c r="K1832" i="3"/>
  <c r="E1832" i="3"/>
  <c r="B1832" i="3"/>
  <c r="U1831" i="3"/>
  <c r="K1831" i="3"/>
  <c r="E1831" i="3"/>
  <c r="B1831" i="3"/>
  <c r="U1830" i="3"/>
  <c r="K1830" i="3"/>
  <c r="E1830" i="3"/>
  <c r="B1830" i="3"/>
  <c r="U1829" i="3"/>
  <c r="K1829" i="3"/>
  <c r="E1829" i="3"/>
  <c r="B1829" i="3"/>
  <c r="U1828" i="3"/>
  <c r="K1828" i="3"/>
  <c r="E1828" i="3"/>
  <c r="B1828" i="3"/>
  <c r="U1827" i="3"/>
  <c r="K1827" i="3"/>
  <c r="E1827" i="3"/>
  <c r="B1827" i="3"/>
  <c r="U1826" i="3"/>
  <c r="K1826" i="3"/>
  <c r="E1826" i="3"/>
  <c r="B1826" i="3"/>
  <c r="U1825" i="3"/>
  <c r="K1825" i="3"/>
  <c r="E1825" i="3"/>
  <c r="B1825" i="3"/>
  <c r="U1824" i="3"/>
  <c r="K1824" i="3"/>
  <c r="E1824" i="3"/>
  <c r="B1824" i="3"/>
  <c r="U1823" i="3"/>
  <c r="K1823" i="3"/>
  <c r="E1823" i="3"/>
  <c r="B1823" i="3"/>
  <c r="U1822" i="3"/>
  <c r="K1822" i="3"/>
  <c r="E1822" i="3"/>
  <c r="B1822" i="3"/>
  <c r="U1821" i="3"/>
  <c r="K1821" i="3"/>
  <c r="E1821" i="3"/>
  <c r="B1821" i="3"/>
  <c r="U1820" i="3"/>
  <c r="K1820" i="3"/>
  <c r="E1820" i="3"/>
  <c r="B1820" i="3"/>
  <c r="U1819" i="3"/>
  <c r="K1819" i="3"/>
  <c r="E1819" i="3"/>
  <c r="B1819" i="3"/>
  <c r="U1818" i="3"/>
  <c r="K1818" i="3"/>
  <c r="E1818" i="3"/>
  <c r="B1818" i="3"/>
  <c r="U1817" i="3"/>
  <c r="K1817" i="3"/>
  <c r="E1817" i="3"/>
  <c r="B1817" i="3"/>
  <c r="U1816" i="3"/>
  <c r="K1816" i="3"/>
  <c r="E1816" i="3"/>
  <c r="B1816" i="3"/>
  <c r="U1815" i="3"/>
  <c r="K1815" i="3"/>
  <c r="E1815" i="3"/>
  <c r="B1815" i="3"/>
  <c r="U1814" i="3"/>
  <c r="K1814" i="3"/>
  <c r="E1814" i="3"/>
  <c r="B1814" i="3"/>
  <c r="U1813" i="3"/>
  <c r="K1813" i="3"/>
  <c r="E1813" i="3"/>
  <c r="B1813" i="3"/>
  <c r="K1812" i="3"/>
  <c r="E1812" i="3"/>
  <c r="B1812" i="3"/>
  <c r="U1811" i="3"/>
  <c r="K1811" i="3"/>
  <c r="E1811" i="3"/>
  <c r="B1811" i="3"/>
  <c r="U1810" i="3"/>
  <c r="K1810" i="3"/>
  <c r="E1810" i="3"/>
  <c r="B1810" i="3"/>
  <c r="U1809" i="3"/>
  <c r="K1809" i="3"/>
  <c r="E1809" i="3"/>
  <c r="B1809" i="3"/>
  <c r="U1808" i="3"/>
  <c r="K1808" i="3"/>
  <c r="E1808" i="3"/>
  <c r="B1808" i="3"/>
  <c r="U1807" i="3"/>
  <c r="K1807" i="3"/>
  <c r="E1807" i="3"/>
  <c r="B1807" i="3"/>
  <c r="U1806" i="3"/>
  <c r="K1806" i="3"/>
  <c r="E1806" i="3"/>
  <c r="B1806" i="3"/>
  <c r="U1805" i="3"/>
  <c r="K1805" i="3"/>
  <c r="E1805" i="3"/>
  <c r="B1805" i="3"/>
  <c r="U1804" i="3"/>
  <c r="K1804" i="3"/>
  <c r="E1804" i="3"/>
  <c r="B1804" i="3"/>
  <c r="U1803" i="3"/>
  <c r="K1803" i="3"/>
  <c r="E1803" i="3"/>
  <c r="B1803" i="3"/>
  <c r="U1802" i="3"/>
  <c r="K1802" i="3"/>
  <c r="E1802" i="3"/>
  <c r="B1802" i="3"/>
  <c r="U1801" i="3"/>
  <c r="K1801" i="3"/>
  <c r="E1801" i="3"/>
  <c r="B1801" i="3"/>
  <c r="U1800" i="3"/>
  <c r="K1800" i="3"/>
  <c r="E1800" i="3"/>
  <c r="B1800" i="3"/>
  <c r="U1799" i="3"/>
  <c r="K1799" i="3"/>
  <c r="E1799" i="3"/>
  <c r="B1799" i="3"/>
  <c r="U1798" i="3"/>
  <c r="K1798" i="3"/>
  <c r="E1798" i="3"/>
  <c r="B1798" i="3"/>
  <c r="U1797" i="3"/>
  <c r="K1797" i="3"/>
  <c r="E1797" i="3"/>
  <c r="B1797" i="3"/>
  <c r="U1796" i="3"/>
  <c r="K1796" i="3"/>
  <c r="E1796" i="3"/>
  <c r="B1796" i="3"/>
  <c r="U1795" i="3"/>
  <c r="K1795" i="3"/>
  <c r="E1795" i="3"/>
  <c r="B1795" i="3"/>
  <c r="U1794" i="3"/>
  <c r="K1794" i="3"/>
  <c r="E1794" i="3"/>
  <c r="B1794" i="3"/>
  <c r="U1793" i="3"/>
  <c r="K1793" i="3"/>
  <c r="E1793" i="3"/>
  <c r="B1793" i="3"/>
  <c r="U1792" i="3"/>
  <c r="K1792" i="3"/>
  <c r="E1792" i="3"/>
  <c r="B1792" i="3"/>
  <c r="U1791" i="3"/>
  <c r="K1791" i="3"/>
  <c r="E1791" i="3"/>
  <c r="B1791" i="3"/>
  <c r="U1790" i="3"/>
  <c r="K1790" i="3"/>
  <c r="E1790" i="3"/>
  <c r="B1790" i="3"/>
  <c r="U1789" i="3"/>
  <c r="K1789" i="3"/>
  <c r="E1789" i="3"/>
  <c r="B1789" i="3"/>
  <c r="U1788" i="3"/>
  <c r="K1788" i="3"/>
  <c r="E1788" i="3"/>
  <c r="B1788" i="3"/>
  <c r="U1787" i="3"/>
  <c r="K1787" i="3"/>
  <c r="E1787" i="3"/>
  <c r="B1787" i="3"/>
  <c r="U1786" i="3"/>
  <c r="K1786" i="3"/>
  <c r="E1786" i="3"/>
  <c r="B1786" i="3"/>
  <c r="U1785" i="3"/>
  <c r="K1785" i="3"/>
  <c r="E1785" i="3"/>
  <c r="B1785" i="3"/>
  <c r="U1784" i="3"/>
  <c r="K1784" i="3"/>
  <c r="E1784" i="3"/>
  <c r="B1784" i="3"/>
  <c r="U1783" i="3"/>
  <c r="K1783" i="3"/>
  <c r="E1783" i="3"/>
  <c r="B1783" i="3"/>
  <c r="U1782" i="3"/>
  <c r="K1782" i="3"/>
  <c r="E1782" i="3"/>
  <c r="B1782" i="3"/>
  <c r="U1781" i="3"/>
  <c r="K1781" i="3"/>
  <c r="E1781" i="3"/>
  <c r="B1781" i="3"/>
  <c r="U1780" i="3"/>
  <c r="K1780" i="3"/>
  <c r="E1780" i="3"/>
  <c r="B1780" i="3"/>
  <c r="U1779" i="3"/>
  <c r="K1779" i="3"/>
  <c r="E1779" i="3"/>
  <c r="B1779" i="3"/>
  <c r="U1778" i="3"/>
  <c r="K1778" i="3"/>
  <c r="E1778" i="3"/>
  <c r="B1778" i="3"/>
  <c r="U1777" i="3"/>
  <c r="K1777" i="3"/>
  <c r="E1777" i="3"/>
  <c r="B1777" i="3"/>
  <c r="U1776" i="3"/>
  <c r="K1776" i="3"/>
  <c r="E1776" i="3"/>
  <c r="B1776" i="3"/>
  <c r="U1775" i="3"/>
  <c r="K1775" i="3"/>
  <c r="E1775" i="3"/>
  <c r="B1775" i="3"/>
  <c r="U1774" i="3"/>
  <c r="K1774" i="3"/>
  <c r="E1774" i="3"/>
  <c r="B1774" i="3"/>
  <c r="U1773" i="3"/>
  <c r="K1773" i="3"/>
  <c r="E1773" i="3"/>
  <c r="B1773" i="3"/>
  <c r="U1772" i="3"/>
  <c r="K1772" i="3"/>
  <c r="E1772" i="3"/>
  <c r="B1772" i="3"/>
  <c r="U1771" i="3"/>
  <c r="K1771" i="3"/>
  <c r="E1771" i="3"/>
  <c r="B1771" i="3"/>
  <c r="U1770" i="3"/>
  <c r="K1770" i="3"/>
  <c r="E1770" i="3"/>
  <c r="B1770" i="3"/>
  <c r="U1769" i="3"/>
  <c r="K1769" i="3"/>
  <c r="E1769" i="3"/>
  <c r="B1769" i="3"/>
  <c r="U1768" i="3"/>
  <c r="K1768" i="3"/>
  <c r="E1768" i="3"/>
  <c r="B1768" i="3"/>
  <c r="U1767" i="3"/>
  <c r="K1767" i="3"/>
  <c r="E1767" i="3"/>
  <c r="B1767" i="3"/>
  <c r="U1766" i="3"/>
  <c r="K1766" i="3"/>
  <c r="E1766" i="3"/>
  <c r="B1766" i="3"/>
  <c r="U1765" i="3"/>
  <c r="K1765" i="3"/>
  <c r="E1765" i="3"/>
  <c r="B1765" i="3"/>
  <c r="U1764" i="3"/>
  <c r="K1764" i="3"/>
  <c r="E1764" i="3"/>
  <c r="B1764" i="3"/>
  <c r="U1763" i="3"/>
  <c r="K1763" i="3"/>
  <c r="E1763" i="3"/>
  <c r="B1763" i="3"/>
  <c r="U1762" i="3"/>
  <c r="K1762" i="3"/>
  <c r="E1762" i="3"/>
  <c r="B1762" i="3"/>
  <c r="U1761" i="3"/>
  <c r="K1761" i="3"/>
  <c r="E1761" i="3"/>
  <c r="B1761" i="3"/>
  <c r="U1760" i="3"/>
  <c r="K1760" i="3"/>
  <c r="E1760" i="3"/>
  <c r="B1760" i="3"/>
  <c r="U1759" i="3"/>
  <c r="K1759" i="3"/>
  <c r="E1759" i="3"/>
  <c r="B1759" i="3"/>
  <c r="U1758" i="3"/>
  <c r="K1758" i="3"/>
  <c r="E1758" i="3"/>
  <c r="B1758" i="3"/>
  <c r="U1757" i="3"/>
  <c r="K1757" i="3"/>
  <c r="E1757" i="3"/>
  <c r="B1757" i="3"/>
  <c r="K1756" i="3"/>
  <c r="E1756" i="3"/>
  <c r="B1756" i="3"/>
  <c r="U1755" i="3"/>
  <c r="K1755" i="3"/>
  <c r="E1755" i="3"/>
  <c r="B1755" i="3"/>
  <c r="U1754" i="3"/>
  <c r="K1754" i="3"/>
  <c r="E1754" i="3"/>
  <c r="B1754" i="3"/>
  <c r="U1753" i="3"/>
  <c r="K1753" i="3"/>
  <c r="E1753" i="3"/>
  <c r="B1753" i="3"/>
  <c r="U1752" i="3"/>
  <c r="K1752" i="3"/>
  <c r="E1752" i="3"/>
  <c r="B1752" i="3"/>
  <c r="U1751" i="3"/>
  <c r="K1751" i="3"/>
  <c r="E1751" i="3"/>
  <c r="B1751" i="3"/>
  <c r="U1750" i="3"/>
  <c r="K1750" i="3"/>
  <c r="E1750" i="3"/>
  <c r="B1750" i="3"/>
  <c r="U1749" i="3"/>
  <c r="K1749" i="3"/>
  <c r="E1749" i="3"/>
  <c r="B1749" i="3"/>
  <c r="U1748" i="3"/>
  <c r="K1748" i="3"/>
  <c r="E1748" i="3"/>
  <c r="B1748" i="3"/>
  <c r="U1747" i="3"/>
  <c r="K1747" i="3"/>
  <c r="E1747" i="3"/>
  <c r="B1747" i="3"/>
  <c r="U1746" i="3"/>
  <c r="K1746" i="3"/>
  <c r="E1746" i="3"/>
  <c r="B1746" i="3"/>
  <c r="U1745" i="3"/>
  <c r="K1745" i="3"/>
  <c r="E1745" i="3"/>
  <c r="B1745" i="3"/>
  <c r="U1744" i="3"/>
  <c r="K1744" i="3"/>
  <c r="E1744" i="3"/>
  <c r="B1744" i="3"/>
  <c r="U1743" i="3"/>
  <c r="K1743" i="3"/>
  <c r="E1743" i="3"/>
  <c r="B1743" i="3"/>
  <c r="U1742" i="3"/>
  <c r="K1742" i="3"/>
  <c r="E1742" i="3"/>
  <c r="B1742" i="3"/>
  <c r="U1741" i="3"/>
  <c r="K1741" i="3"/>
  <c r="E1741" i="3"/>
  <c r="B1741" i="3"/>
  <c r="U1740" i="3"/>
  <c r="K1740" i="3"/>
  <c r="E1740" i="3"/>
  <c r="B1740" i="3"/>
  <c r="U1739" i="3"/>
  <c r="K1739" i="3"/>
  <c r="E1739" i="3"/>
  <c r="B1739" i="3"/>
  <c r="U1738" i="3"/>
  <c r="K1738" i="3"/>
  <c r="E1738" i="3"/>
  <c r="B1738" i="3"/>
  <c r="U1737" i="3"/>
  <c r="K1737" i="3"/>
  <c r="E1737" i="3"/>
  <c r="B1737" i="3"/>
  <c r="U1736" i="3"/>
  <c r="K1736" i="3"/>
  <c r="E1736" i="3"/>
  <c r="B1736" i="3"/>
  <c r="U1735" i="3"/>
  <c r="K1735" i="3"/>
  <c r="E1735" i="3"/>
  <c r="B1735" i="3"/>
  <c r="U1734" i="3"/>
  <c r="K1734" i="3"/>
  <c r="E1734" i="3"/>
  <c r="B1734" i="3"/>
  <c r="U1733" i="3"/>
  <c r="K1733" i="3"/>
  <c r="E1733" i="3"/>
  <c r="B1733" i="3"/>
  <c r="U1732" i="3"/>
  <c r="K1732" i="3"/>
  <c r="E1732" i="3"/>
  <c r="B1732" i="3"/>
  <c r="U1731" i="3"/>
  <c r="K1731" i="3"/>
  <c r="E1731" i="3"/>
  <c r="B1731" i="3"/>
  <c r="U1730" i="3"/>
  <c r="K1730" i="3"/>
  <c r="E1730" i="3"/>
  <c r="B1730" i="3"/>
  <c r="U1729" i="3"/>
  <c r="K1729" i="3"/>
  <c r="E1729" i="3"/>
  <c r="B1729" i="3"/>
  <c r="U1728" i="3"/>
  <c r="K1728" i="3"/>
  <c r="E1728" i="3"/>
  <c r="B1728" i="3"/>
  <c r="U1727" i="3"/>
  <c r="K1727" i="3"/>
  <c r="E1727" i="3"/>
  <c r="B1727" i="3"/>
  <c r="U1726" i="3"/>
  <c r="K1726" i="3"/>
  <c r="E1726" i="3"/>
  <c r="B1726" i="3"/>
  <c r="U1725" i="3"/>
  <c r="K1725" i="3"/>
  <c r="E1725" i="3"/>
  <c r="B1725" i="3"/>
  <c r="U1724" i="3"/>
  <c r="K1724" i="3"/>
  <c r="E1724" i="3"/>
  <c r="B1724" i="3"/>
  <c r="U1723" i="3"/>
  <c r="K1723" i="3"/>
  <c r="E1723" i="3"/>
  <c r="B1723" i="3"/>
  <c r="U1722" i="3"/>
  <c r="K1722" i="3"/>
  <c r="E1722" i="3"/>
  <c r="B1722" i="3"/>
  <c r="U1721" i="3"/>
  <c r="K1721" i="3"/>
  <c r="E1721" i="3"/>
  <c r="B1721" i="3"/>
  <c r="U1720" i="3"/>
  <c r="K1720" i="3"/>
  <c r="E1720" i="3"/>
  <c r="B1720" i="3"/>
  <c r="U1719" i="3"/>
  <c r="K1719" i="3"/>
  <c r="E1719" i="3"/>
  <c r="B1719" i="3"/>
  <c r="U1718" i="3"/>
  <c r="K1718" i="3"/>
  <c r="E1718" i="3"/>
  <c r="B1718" i="3"/>
  <c r="U1717" i="3"/>
  <c r="K1717" i="3"/>
  <c r="E1717" i="3"/>
  <c r="B1717" i="3"/>
  <c r="U1716" i="3"/>
  <c r="K1716" i="3"/>
  <c r="E1716" i="3"/>
  <c r="B1716" i="3"/>
  <c r="U1715" i="3"/>
  <c r="K1715" i="3"/>
  <c r="E1715" i="3"/>
  <c r="B1715" i="3"/>
  <c r="U1714" i="3"/>
  <c r="K1714" i="3"/>
  <c r="E1714" i="3"/>
  <c r="B1714" i="3"/>
  <c r="U1713" i="3"/>
  <c r="K1713" i="3"/>
  <c r="E1713" i="3"/>
  <c r="B1713" i="3"/>
  <c r="U1712" i="3"/>
  <c r="K1712" i="3"/>
  <c r="E1712" i="3"/>
  <c r="B1712" i="3"/>
  <c r="U1711" i="3"/>
  <c r="K1711" i="3"/>
  <c r="E1711" i="3"/>
  <c r="B1711" i="3"/>
  <c r="U1710" i="3"/>
  <c r="K1710" i="3"/>
  <c r="E1710" i="3"/>
  <c r="B1710" i="3"/>
  <c r="U1709" i="3"/>
  <c r="K1709" i="3"/>
  <c r="E1709" i="3"/>
  <c r="B1709" i="3"/>
  <c r="K1708" i="3"/>
  <c r="E1708" i="3"/>
  <c r="B1708" i="3"/>
  <c r="U1707" i="3"/>
  <c r="K1707" i="3"/>
  <c r="E1707" i="3"/>
  <c r="B1707" i="3"/>
  <c r="U1706" i="3"/>
  <c r="K1706" i="3"/>
  <c r="E1706" i="3"/>
  <c r="B1706" i="3"/>
  <c r="U1705" i="3"/>
  <c r="K1705" i="3"/>
  <c r="E1705" i="3"/>
  <c r="B1705" i="3"/>
  <c r="U1704" i="3"/>
  <c r="K1704" i="3"/>
  <c r="E1704" i="3"/>
  <c r="B1704" i="3"/>
  <c r="U1703" i="3"/>
  <c r="K1703" i="3"/>
  <c r="E1703" i="3"/>
  <c r="B1703" i="3"/>
  <c r="U1702" i="3"/>
  <c r="K1702" i="3"/>
  <c r="E1702" i="3"/>
  <c r="B1702" i="3"/>
  <c r="U1701" i="3"/>
  <c r="K1701" i="3"/>
  <c r="E1701" i="3"/>
  <c r="B1701" i="3"/>
  <c r="U1700" i="3"/>
  <c r="K1700" i="3"/>
  <c r="E1700" i="3"/>
  <c r="B1700" i="3"/>
  <c r="U1699" i="3"/>
  <c r="K1699" i="3"/>
  <c r="E1699" i="3"/>
  <c r="B1699" i="3"/>
  <c r="U1698" i="3"/>
  <c r="K1698" i="3"/>
  <c r="E1698" i="3"/>
  <c r="B1698" i="3"/>
  <c r="U1697" i="3"/>
  <c r="K1697" i="3"/>
  <c r="E1697" i="3"/>
  <c r="B1697" i="3"/>
  <c r="U1696" i="3"/>
  <c r="K1696" i="3"/>
  <c r="E1696" i="3"/>
  <c r="B1696" i="3"/>
  <c r="U1695" i="3"/>
  <c r="K1695" i="3"/>
  <c r="E1695" i="3"/>
  <c r="B1695" i="3"/>
  <c r="U1694" i="3"/>
  <c r="K1694" i="3"/>
  <c r="E1694" i="3"/>
  <c r="B1694" i="3"/>
  <c r="U1693" i="3"/>
  <c r="K1693" i="3"/>
  <c r="E1693" i="3"/>
  <c r="B1693" i="3"/>
  <c r="U1692" i="3"/>
  <c r="K1692" i="3"/>
  <c r="E1692" i="3"/>
  <c r="B1692" i="3"/>
  <c r="U1691" i="3"/>
  <c r="K1691" i="3"/>
  <c r="E1691" i="3"/>
  <c r="B1691" i="3"/>
  <c r="U1690" i="3"/>
  <c r="K1690" i="3"/>
  <c r="E1690" i="3"/>
  <c r="B1690" i="3"/>
  <c r="U1689" i="3"/>
  <c r="K1689" i="3"/>
  <c r="E1689" i="3"/>
  <c r="B1689" i="3"/>
  <c r="K1688" i="3"/>
  <c r="E1688" i="3"/>
  <c r="B1688" i="3"/>
  <c r="U1687" i="3"/>
  <c r="K1687" i="3"/>
  <c r="E1687" i="3"/>
  <c r="B1687" i="3"/>
  <c r="U1686" i="3"/>
  <c r="K1686" i="3"/>
  <c r="E1686" i="3"/>
  <c r="B1686" i="3"/>
  <c r="U1685" i="3"/>
  <c r="K1685" i="3"/>
  <c r="E1685" i="3"/>
  <c r="B1685" i="3"/>
  <c r="U1684" i="3"/>
  <c r="K1684" i="3"/>
  <c r="E1684" i="3"/>
  <c r="B1684" i="3"/>
  <c r="U1683" i="3"/>
  <c r="K1683" i="3"/>
  <c r="E1683" i="3"/>
  <c r="B1683" i="3"/>
  <c r="U1682" i="3"/>
  <c r="K1682" i="3"/>
  <c r="E1682" i="3"/>
  <c r="B1682" i="3"/>
  <c r="U1681" i="3"/>
  <c r="K1681" i="3"/>
  <c r="E1681" i="3"/>
  <c r="B1681" i="3"/>
  <c r="U1680" i="3"/>
  <c r="K1680" i="3"/>
  <c r="E1680" i="3"/>
  <c r="B1680" i="3"/>
  <c r="U1679" i="3"/>
  <c r="K1679" i="3"/>
  <c r="E1679" i="3"/>
  <c r="B1679" i="3"/>
  <c r="U1678" i="3"/>
  <c r="K1678" i="3"/>
  <c r="E1678" i="3"/>
  <c r="B1678" i="3"/>
  <c r="U1677" i="3"/>
  <c r="K1677" i="3"/>
  <c r="E1677" i="3"/>
  <c r="B1677" i="3"/>
  <c r="U1676" i="3"/>
  <c r="K1676" i="3"/>
  <c r="E1676" i="3"/>
  <c r="B1676" i="3"/>
  <c r="U1675" i="3"/>
  <c r="K1675" i="3"/>
  <c r="E1675" i="3"/>
  <c r="B1675" i="3"/>
  <c r="U1674" i="3"/>
  <c r="K1674" i="3"/>
  <c r="E1674" i="3"/>
  <c r="B1674" i="3"/>
  <c r="U1673" i="3"/>
  <c r="K1673" i="3"/>
  <c r="E1673" i="3"/>
  <c r="B1673" i="3"/>
  <c r="U1672" i="3"/>
  <c r="K1672" i="3"/>
  <c r="E1672" i="3"/>
  <c r="B1672" i="3"/>
  <c r="U1671" i="3"/>
  <c r="K1671" i="3"/>
  <c r="E1671" i="3"/>
  <c r="B1671" i="3"/>
  <c r="U1670" i="3"/>
  <c r="K1670" i="3"/>
  <c r="E1670" i="3"/>
  <c r="B1670" i="3"/>
  <c r="U1669" i="3"/>
  <c r="K1669" i="3"/>
  <c r="E1669" i="3"/>
  <c r="B1669" i="3"/>
  <c r="U1668" i="3"/>
  <c r="K1668" i="3"/>
  <c r="E1668" i="3"/>
  <c r="B1668" i="3"/>
  <c r="U1667" i="3"/>
  <c r="K1667" i="3"/>
  <c r="E1667" i="3"/>
  <c r="B1667" i="3"/>
  <c r="U1666" i="3"/>
  <c r="K1666" i="3"/>
  <c r="E1666" i="3"/>
  <c r="B1666" i="3"/>
  <c r="U1665" i="3"/>
  <c r="K1665" i="3"/>
  <c r="E1665" i="3"/>
  <c r="B1665" i="3"/>
  <c r="U1664" i="3"/>
  <c r="K1664" i="3"/>
  <c r="E1664" i="3"/>
  <c r="B1664" i="3"/>
  <c r="U1663" i="3"/>
  <c r="K1663" i="3"/>
  <c r="E1663" i="3"/>
  <c r="B1663" i="3"/>
  <c r="U1662" i="3"/>
  <c r="K1662" i="3"/>
  <c r="E1662" i="3"/>
  <c r="B1662" i="3"/>
  <c r="U1661" i="3"/>
  <c r="K1661" i="3"/>
  <c r="E1661" i="3"/>
  <c r="B1661" i="3"/>
  <c r="U1660" i="3"/>
  <c r="K1660" i="3"/>
  <c r="E1660" i="3"/>
  <c r="B1660" i="3"/>
  <c r="U1659" i="3"/>
  <c r="K1659" i="3"/>
  <c r="E1659" i="3"/>
  <c r="B1659" i="3"/>
  <c r="U1658" i="3"/>
  <c r="K1658" i="3"/>
  <c r="E1658" i="3"/>
  <c r="B1658" i="3"/>
  <c r="U1657" i="3"/>
  <c r="K1657" i="3"/>
  <c r="E1657" i="3"/>
  <c r="B1657" i="3"/>
  <c r="U1656" i="3"/>
  <c r="K1656" i="3"/>
  <c r="E1656" i="3"/>
  <c r="B1656" i="3"/>
  <c r="U1655" i="3"/>
  <c r="K1655" i="3"/>
  <c r="E1655" i="3"/>
  <c r="B1655" i="3"/>
  <c r="U1654" i="3"/>
  <c r="K1654" i="3"/>
  <c r="E1654" i="3"/>
  <c r="B1654" i="3"/>
  <c r="U1653" i="3"/>
  <c r="K1653" i="3"/>
  <c r="E1653" i="3"/>
  <c r="B1653" i="3"/>
  <c r="U1652" i="3"/>
  <c r="K1652" i="3"/>
  <c r="E1652" i="3"/>
  <c r="B1652" i="3"/>
  <c r="U1651" i="3"/>
  <c r="K1651" i="3"/>
  <c r="E1651" i="3"/>
  <c r="B1651" i="3"/>
  <c r="U1650" i="3"/>
  <c r="K1650" i="3"/>
  <c r="E1650" i="3"/>
  <c r="B1650" i="3"/>
  <c r="U1649" i="3"/>
  <c r="K1649" i="3"/>
  <c r="E1649" i="3"/>
  <c r="B1649" i="3"/>
  <c r="U1648" i="3"/>
  <c r="K1648" i="3"/>
  <c r="E1648" i="3"/>
  <c r="B1648" i="3"/>
  <c r="U1647" i="3"/>
  <c r="K1647" i="3"/>
  <c r="E1647" i="3"/>
  <c r="B1647" i="3"/>
  <c r="U1646" i="3"/>
  <c r="K1646" i="3"/>
  <c r="E1646" i="3"/>
  <c r="B1646" i="3"/>
  <c r="U1645" i="3"/>
  <c r="K1645" i="3"/>
  <c r="E1645" i="3"/>
  <c r="B1645" i="3"/>
  <c r="U1644" i="3"/>
  <c r="K1644" i="3"/>
  <c r="E1644" i="3"/>
  <c r="B1644" i="3"/>
  <c r="U1643" i="3"/>
  <c r="K1643" i="3"/>
  <c r="E1643" i="3"/>
  <c r="B1643" i="3"/>
  <c r="U1642" i="3"/>
  <c r="K1642" i="3"/>
  <c r="E1642" i="3"/>
  <c r="B1642" i="3"/>
  <c r="U1641" i="3"/>
  <c r="K1641" i="3"/>
  <c r="E1641" i="3"/>
  <c r="B1641" i="3"/>
  <c r="U1640" i="3"/>
  <c r="K1640" i="3"/>
  <c r="E1640" i="3"/>
  <c r="B1640" i="3"/>
  <c r="U1639" i="3"/>
  <c r="K1639" i="3"/>
  <c r="E1639" i="3"/>
  <c r="B1639" i="3"/>
  <c r="U1638" i="3"/>
  <c r="K1638" i="3"/>
  <c r="E1638" i="3"/>
  <c r="B1638" i="3"/>
  <c r="U1637" i="3"/>
  <c r="K1637" i="3"/>
  <c r="E1637" i="3"/>
  <c r="B1637" i="3"/>
  <c r="U1636" i="3"/>
  <c r="K1636" i="3"/>
  <c r="E1636" i="3"/>
  <c r="B1636" i="3"/>
  <c r="U1635" i="3"/>
  <c r="K1635" i="3"/>
  <c r="E1635" i="3"/>
  <c r="B1635" i="3"/>
  <c r="U1634" i="3"/>
  <c r="K1634" i="3"/>
  <c r="E1634" i="3"/>
  <c r="B1634" i="3"/>
  <c r="U1633" i="3"/>
  <c r="K1633" i="3"/>
  <c r="E1633" i="3"/>
  <c r="B1633" i="3"/>
  <c r="U1632" i="3"/>
  <c r="K1632" i="3"/>
  <c r="E1632" i="3"/>
  <c r="B1632" i="3"/>
  <c r="U1631" i="3"/>
  <c r="K1631" i="3"/>
  <c r="E1631" i="3"/>
  <c r="B1631" i="3"/>
  <c r="U1630" i="3"/>
  <c r="K1630" i="3"/>
  <c r="E1630" i="3"/>
  <c r="B1630" i="3"/>
  <c r="U1629" i="3"/>
  <c r="K1629" i="3"/>
  <c r="E1629" i="3"/>
  <c r="B1629" i="3"/>
  <c r="U1628" i="3"/>
  <c r="K1628" i="3"/>
  <c r="E1628" i="3"/>
  <c r="B1628" i="3"/>
  <c r="U1627" i="3"/>
  <c r="K1627" i="3"/>
  <c r="E1627" i="3"/>
  <c r="B1627" i="3"/>
  <c r="U1626" i="3"/>
  <c r="K1626" i="3"/>
  <c r="E1626" i="3"/>
  <c r="B1626" i="3"/>
  <c r="U1625" i="3"/>
  <c r="K1625" i="3"/>
  <c r="E1625" i="3"/>
  <c r="B1625" i="3"/>
  <c r="U1624" i="3"/>
  <c r="K1624" i="3"/>
  <c r="E1624" i="3"/>
  <c r="B1624" i="3"/>
  <c r="U1623" i="3"/>
  <c r="K1623" i="3"/>
  <c r="E1623" i="3"/>
  <c r="B1623" i="3"/>
  <c r="U1622" i="3"/>
  <c r="K1622" i="3"/>
  <c r="E1622" i="3"/>
  <c r="B1622" i="3"/>
  <c r="K1621" i="3"/>
  <c r="E1621" i="3"/>
  <c r="B1621" i="3"/>
  <c r="U1620" i="3"/>
  <c r="K1620" i="3"/>
  <c r="E1620" i="3"/>
  <c r="B1620" i="3"/>
  <c r="U1619" i="3"/>
  <c r="K1619" i="3"/>
  <c r="E1619" i="3"/>
  <c r="B1619" i="3"/>
  <c r="U1618" i="3"/>
  <c r="K1618" i="3"/>
  <c r="E1618" i="3"/>
  <c r="B1618" i="3"/>
  <c r="U1617" i="3"/>
  <c r="K1617" i="3"/>
  <c r="E1617" i="3"/>
  <c r="B1617" i="3"/>
  <c r="U1616" i="3"/>
  <c r="K1616" i="3"/>
  <c r="E1616" i="3"/>
  <c r="B1616" i="3"/>
  <c r="U1615" i="3"/>
  <c r="K1615" i="3"/>
  <c r="E1615" i="3"/>
  <c r="B1615" i="3"/>
  <c r="U1614" i="3"/>
  <c r="K1614" i="3"/>
  <c r="E1614" i="3"/>
  <c r="B1614" i="3"/>
  <c r="U1613" i="3"/>
  <c r="K1613" i="3"/>
  <c r="E1613" i="3"/>
  <c r="B1613" i="3"/>
  <c r="U1612" i="3"/>
  <c r="K1612" i="3"/>
  <c r="E1612" i="3"/>
  <c r="B1612" i="3"/>
  <c r="U1611" i="3"/>
  <c r="K1611" i="3"/>
  <c r="E1611" i="3"/>
  <c r="B1611" i="3"/>
  <c r="U1610" i="3"/>
  <c r="K1610" i="3"/>
  <c r="E1610" i="3"/>
  <c r="B1610" i="3"/>
  <c r="U1609" i="3"/>
  <c r="K1609" i="3"/>
  <c r="E1609" i="3"/>
  <c r="B1609" i="3"/>
  <c r="U1608" i="3"/>
  <c r="K1608" i="3"/>
  <c r="E1608" i="3"/>
  <c r="B1608" i="3"/>
  <c r="U1607" i="3"/>
  <c r="K1607" i="3"/>
  <c r="E1607" i="3"/>
  <c r="B1607" i="3"/>
  <c r="U1606" i="3"/>
  <c r="K1606" i="3"/>
  <c r="E1606" i="3"/>
  <c r="B1606" i="3"/>
  <c r="U1605" i="3"/>
  <c r="K1605" i="3"/>
  <c r="E1605" i="3"/>
  <c r="B1605" i="3"/>
  <c r="U1604" i="3"/>
  <c r="K1604" i="3"/>
  <c r="E1604" i="3"/>
  <c r="B1604" i="3"/>
  <c r="U1603" i="3"/>
  <c r="K1603" i="3"/>
  <c r="E1603" i="3"/>
  <c r="B1603" i="3"/>
  <c r="K1602" i="3"/>
  <c r="E1602" i="3"/>
  <c r="B1602" i="3"/>
  <c r="U1601" i="3"/>
  <c r="K1601" i="3"/>
  <c r="E1601" i="3"/>
  <c r="B1601" i="3"/>
  <c r="U1600" i="3"/>
  <c r="K1600" i="3"/>
  <c r="E1600" i="3"/>
  <c r="B1600" i="3"/>
  <c r="U1599" i="3"/>
  <c r="K1599" i="3"/>
  <c r="E1599" i="3"/>
  <c r="B1599" i="3"/>
  <c r="U1598" i="3"/>
  <c r="K1598" i="3"/>
  <c r="E1598" i="3"/>
  <c r="B1598" i="3"/>
  <c r="U1597" i="3"/>
  <c r="K1597" i="3"/>
  <c r="E1597" i="3"/>
  <c r="B1597" i="3"/>
  <c r="U1596" i="3"/>
  <c r="K1596" i="3"/>
  <c r="E1596" i="3"/>
  <c r="B1596" i="3"/>
  <c r="U1595" i="3"/>
  <c r="K1595" i="3"/>
  <c r="E1595" i="3"/>
  <c r="B1595" i="3"/>
  <c r="U1594" i="3"/>
  <c r="K1594" i="3"/>
  <c r="E1594" i="3"/>
  <c r="B1594" i="3"/>
  <c r="U1593" i="3"/>
  <c r="K1593" i="3"/>
  <c r="E1593" i="3"/>
  <c r="B1593" i="3"/>
  <c r="U1592" i="3"/>
  <c r="K1592" i="3"/>
  <c r="E1592" i="3"/>
  <c r="B1592" i="3"/>
  <c r="K1591" i="3"/>
  <c r="E1591" i="3"/>
  <c r="B1591" i="3"/>
  <c r="U1590" i="3"/>
  <c r="K1590" i="3"/>
  <c r="E1590" i="3"/>
  <c r="B1590" i="3"/>
  <c r="U1589" i="3"/>
  <c r="K1589" i="3"/>
  <c r="E1589" i="3"/>
  <c r="B1589" i="3"/>
  <c r="U1588" i="3"/>
  <c r="K1588" i="3"/>
  <c r="E1588" i="3"/>
  <c r="B1588" i="3"/>
  <c r="U1587" i="3"/>
  <c r="K1587" i="3"/>
  <c r="E1587" i="3"/>
  <c r="B1587" i="3"/>
  <c r="U1586" i="3"/>
  <c r="K1586" i="3"/>
  <c r="E1586" i="3"/>
  <c r="B1586" i="3"/>
  <c r="U1585" i="3"/>
  <c r="K1585" i="3"/>
  <c r="E1585" i="3"/>
  <c r="B1585" i="3"/>
  <c r="U1584" i="3"/>
  <c r="K1584" i="3"/>
  <c r="E1584" i="3"/>
  <c r="B1584" i="3"/>
  <c r="K1583" i="3"/>
  <c r="E1583" i="3"/>
  <c r="B1583" i="3"/>
  <c r="U1582" i="3"/>
  <c r="K1582" i="3"/>
  <c r="E1582" i="3"/>
  <c r="B1582" i="3"/>
  <c r="U1581" i="3"/>
  <c r="K1581" i="3"/>
  <c r="E1581" i="3"/>
  <c r="B1581" i="3"/>
  <c r="U1580" i="3"/>
  <c r="K1580" i="3"/>
  <c r="E1580" i="3"/>
  <c r="B1580" i="3"/>
  <c r="U1579" i="3"/>
  <c r="K1579" i="3"/>
  <c r="E1579" i="3"/>
  <c r="B1579" i="3"/>
  <c r="U1578" i="3"/>
  <c r="K1578" i="3"/>
  <c r="E1578" i="3"/>
  <c r="B1578" i="3"/>
  <c r="U1577" i="3"/>
  <c r="K1577" i="3"/>
  <c r="E1577" i="3"/>
  <c r="B1577" i="3"/>
  <c r="U1576" i="3"/>
  <c r="K1576" i="3"/>
  <c r="E1576" i="3"/>
  <c r="B1576" i="3"/>
  <c r="U1575" i="3"/>
  <c r="K1575" i="3"/>
  <c r="E1575" i="3"/>
  <c r="B1575" i="3"/>
  <c r="U1574" i="3"/>
  <c r="K1574" i="3"/>
  <c r="E1574" i="3"/>
  <c r="B1574" i="3"/>
  <c r="U1573" i="3"/>
  <c r="K1573" i="3"/>
  <c r="E1573" i="3"/>
  <c r="B1573" i="3"/>
  <c r="U1572" i="3"/>
  <c r="K1572" i="3"/>
  <c r="E1572" i="3"/>
  <c r="B1572" i="3"/>
  <c r="U1571" i="3"/>
  <c r="K1571" i="3"/>
  <c r="E1571" i="3"/>
  <c r="B1571" i="3"/>
  <c r="U1570" i="3"/>
  <c r="K1570" i="3"/>
  <c r="E1570" i="3"/>
  <c r="B1570" i="3"/>
  <c r="U1569" i="3"/>
  <c r="K1569" i="3"/>
  <c r="E1569" i="3"/>
  <c r="B1569" i="3"/>
  <c r="U1568" i="3"/>
  <c r="K1568" i="3"/>
  <c r="E1568" i="3"/>
  <c r="B1568" i="3"/>
  <c r="U1567" i="3"/>
  <c r="K1567" i="3"/>
  <c r="E1567" i="3"/>
  <c r="B1567" i="3"/>
  <c r="U1566" i="3"/>
  <c r="K1566" i="3"/>
  <c r="E1566" i="3"/>
  <c r="B1566" i="3"/>
  <c r="U1565" i="3"/>
  <c r="K1565" i="3"/>
  <c r="E1565" i="3"/>
  <c r="B1565" i="3"/>
  <c r="U1564" i="3"/>
  <c r="K1564" i="3"/>
  <c r="E1564" i="3"/>
  <c r="B1564" i="3"/>
  <c r="U1563" i="3"/>
  <c r="K1563" i="3"/>
  <c r="E1563" i="3"/>
  <c r="B1563" i="3"/>
  <c r="U1562" i="3"/>
  <c r="K1562" i="3"/>
  <c r="E1562" i="3"/>
  <c r="B1562" i="3"/>
  <c r="U1561" i="3"/>
  <c r="K1561" i="3"/>
  <c r="E1561" i="3"/>
  <c r="B1561" i="3"/>
  <c r="U1560" i="3"/>
  <c r="K1560" i="3"/>
  <c r="E1560" i="3"/>
  <c r="B1560" i="3"/>
  <c r="U1559" i="3"/>
  <c r="K1559" i="3"/>
  <c r="E1559" i="3"/>
  <c r="B1559" i="3"/>
  <c r="U1558" i="3"/>
  <c r="K1558" i="3"/>
  <c r="E1558" i="3"/>
  <c r="B1558" i="3"/>
  <c r="U1557" i="3"/>
  <c r="K1557" i="3"/>
  <c r="E1557" i="3"/>
  <c r="B1557" i="3"/>
  <c r="U1556" i="3"/>
  <c r="K1556" i="3"/>
  <c r="E1556" i="3"/>
  <c r="B1556" i="3"/>
  <c r="U1555" i="3"/>
  <c r="K1555" i="3"/>
  <c r="E1555" i="3"/>
  <c r="B1555" i="3"/>
  <c r="U1554" i="3"/>
  <c r="K1554" i="3"/>
  <c r="E1554" i="3"/>
  <c r="B1554" i="3"/>
  <c r="U1553" i="3"/>
  <c r="K1553" i="3"/>
  <c r="E1553" i="3"/>
  <c r="B1553" i="3"/>
  <c r="U1552" i="3"/>
  <c r="K1552" i="3"/>
  <c r="E1552" i="3"/>
  <c r="B1552" i="3"/>
  <c r="U1551" i="3"/>
  <c r="K1551" i="3"/>
  <c r="E1551" i="3"/>
  <c r="B1551" i="3"/>
  <c r="U1550" i="3"/>
  <c r="K1550" i="3"/>
  <c r="E1550" i="3"/>
  <c r="B1550" i="3"/>
  <c r="U1549" i="3"/>
  <c r="K1549" i="3"/>
  <c r="E1549" i="3"/>
  <c r="B1549" i="3"/>
  <c r="U1548" i="3"/>
  <c r="K1548" i="3"/>
  <c r="E1548" i="3"/>
  <c r="B1548" i="3"/>
  <c r="U1547" i="3"/>
  <c r="K1547" i="3"/>
  <c r="E1547" i="3"/>
  <c r="B1547" i="3"/>
  <c r="U1546" i="3"/>
  <c r="K1546" i="3"/>
  <c r="E1546" i="3"/>
  <c r="B1546" i="3"/>
  <c r="U1545" i="3"/>
  <c r="K1545" i="3"/>
  <c r="E1545" i="3"/>
  <c r="B1545" i="3"/>
  <c r="U1544" i="3"/>
  <c r="K1544" i="3"/>
  <c r="E1544" i="3"/>
  <c r="B1544" i="3"/>
  <c r="U1543" i="3"/>
  <c r="K1543" i="3"/>
  <c r="E1543" i="3"/>
  <c r="B1543" i="3"/>
  <c r="U1542" i="3"/>
  <c r="K1542" i="3"/>
  <c r="E1542" i="3"/>
  <c r="B1542" i="3"/>
  <c r="U1541" i="3"/>
  <c r="K1541" i="3"/>
  <c r="E1541" i="3"/>
  <c r="B1541" i="3"/>
  <c r="U1540" i="3"/>
  <c r="K1540" i="3"/>
  <c r="E1540" i="3"/>
  <c r="B1540" i="3"/>
  <c r="U1539" i="3"/>
  <c r="K1539" i="3"/>
  <c r="E1539" i="3"/>
  <c r="B1539" i="3"/>
  <c r="U1538" i="3"/>
  <c r="K1538" i="3"/>
  <c r="E1538" i="3"/>
  <c r="B1538" i="3"/>
  <c r="U1537" i="3"/>
  <c r="K1537" i="3"/>
  <c r="E1537" i="3"/>
  <c r="B1537" i="3"/>
  <c r="U1536" i="3"/>
  <c r="K1536" i="3"/>
  <c r="E1536" i="3"/>
  <c r="B1536" i="3"/>
  <c r="U1535" i="3"/>
  <c r="K1535" i="3"/>
  <c r="E1535" i="3"/>
  <c r="B1535" i="3"/>
  <c r="U1534" i="3"/>
  <c r="K1534" i="3"/>
  <c r="E1534" i="3"/>
  <c r="B1534" i="3"/>
  <c r="U1533" i="3"/>
  <c r="K1533" i="3"/>
  <c r="E1533" i="3"/>
  <c r="B1533" i="3"/>
  <c r="U1532" i="3"/>
  <c r="K1532" i="3"/>
  <c r="E1532" i="3"/>
  <c r="B1532" i="3"/>
  <c r="U1531" i="3"/>
  <c r="K1531" i="3"/>
  <c r="E1531" i="3"/>
  <c r="B1531" i="3"/>
  <c r="U1530" i="3"/>
  <c r="K1530" i="3"/>
  <c r="E1530" i="3"/>
  <c r="B1530" i="3"/>
  <c r="U1529" i="3"/>
  <c r="K1529" i="3"/>
  <c r="E1529" i="3"/>
  <c r="B1529" i="3"/>
  <c r="U1528" i="3"/>
  <c r="K1528" i="3"/>
  <c r="E1528" i="3"/>
  <c r="B1528" i="3"/>
  <c r="U1527" i="3"/>
  <c r="K1527" i="3"/>
  <c r="E1527" i="3"/>
  <c r="B1527" i="3"/>
  <c r="U1526" i="3"/>
  <c r="K1526" i="3"/>
  <c r="E1526" i="3"/>
  <c r="B1526" i="3"/>
  <c r="U1525" i="3"/>
  <c r="K1525" i="3"/>
  <c r="E1525" i="3"/>
  <c r="B1525" i="3"/>
  <c r="U1524" i="3"/>
  <c r="K1524" i="3"/>
  <c r="E1524" i="3"/>
  <c r="B1524" i="3"/>
  <c r="U1523" i="3"/>
  <c r="K1523" i="3"/>
  <c r="E1523" i="3"/>
  <c r="B1523" i="3"/>
  <c r="U1522" i="3"/>
  <c r="K1522" i="3"/>
  <c r="E1522" i="3"/>
  <c r="B1522" i="3"/>
  <c r="U1521" i="3"/>
  <c r="K1521" i="3"/>
  <c r="E1521" i="3"/>
  <c r="B1521" i="3"/>
  <c r="U1520" i="3"/>
  <c r="K1520" i="3"/>
  <c r="E1520" i="3"/>
  <c r="B1520" i="3"/>
  <c r="U1519" i="3"/>
  <c r="K1519" i="3"/>
  <c r="E1519" i="3"/>
  <c r="B1519" i="3"/>
  <c r="U1518" i="3"/>
  <c r="K1518" i="3"/>
  <c r="E1518" i="3"/>
  <c r="B1518" i="3"/>
  <c r="U1517" i="3"/>
  <c r="K1517" i="3"/>
  <c r="E1517" i="3"/>
  <c r="B1517" i="3"/>
  <c r="U1516" i="3"/>
  <c r="K1516" i="3"/>
  <c r="E1516" i="3"/>
  <c r="B1516" i="3"/>
  <c r="U1515" i="3"/>
  <c r="K1515" i="3"/>
  <c r="E1515" i="3"/>
  <c r="B1515" i="3"/>
  <c r="U1514" i="3"/>
  <c r="K1514" i="3"/>
  <c r="E1514" i="3"/>
  <c r="B1514" i="3"/>
  <c r="U1513" i="3"/>
  <c r="K1513" i="3"/>
  <c r="E1513" i="3"/>
  <c r="B1513" i="3"/>
  <c r="U1512" i="3"/>
  <c r="K1512" i="3"/>
  <c r="E1512" i="3"/>
  <c r="B1512" i="3"/>
  <c r="U1511" i="3"/>
  <c r="K1511" i="3"/>
  <c r="E1511" i="3"/>
  <c r="B1511" i="3"/>
  <c r="U1510" i="3"/>
  <c r="K1510" i="3"/>
  <c r="E1510" i="3"/>
  <c r="B1510" i="3"/>
  <c r="U1509" i="3"/>
  <c r="K1509" i="3"/>
  <c r="E1509" i="3"/>
  <c r="B1509" i="3"/>
  <c r="U1508" i="3"/>
  <c r="K1508" i="3"/>
  <c r="E1508" i="3"/>
  <c r="B1508" i="3"/>
  <c r="U1507" i="3"/>
  <c r="K1507" i="3"/>
  <c r="E1507" i="3"/>
  <c r="B1507" i="3"/>
  <c r="U1506" i="3"/>
  <c r="K1506" i="3"/>
  <c r="E1506" i="3"/>
  <c r="B1506" i="3"/>
  <c r="U1505" i="3"/>
  <c r="K1505" i="3"/>
  <c r="E1505" i="3"/>
  <c r="B1505" i="3"/>
  <c r="U1504" i="3"/>
  <c r="K1504" i="3"/>
  <c r="E1504" i="3"/>
  <c r="B1504" i="3"/>
  <c r="U1503" i="3"/>
  <c r="K1503" i="3"/>
  <c r="E1503" i="3"/>
  <c r="B1503" i="3"/>
  <c r="K1502" i="3"/>
  <c r="E1502" i="3"/>
  <c r="B1502" i="3"/>
  <c r="U1501" i="3"/>
  <c r="K1501" i="3"/>
  <c r="E1501" i="3"/>
  <c r="B1501" i="3"/>
  <c r="U1500" i="3"/>
  <c r="K1500" i="3"/>
  <c r="E1500" i="3"/>
  <c r="B1500" i="3"/>
  <c r="U1499" i="3"/>
  <c r="K1499" i="3"/>
  <c r="E1499" i="3"/>
  <c r="B1499" i="3"/>
  <c r="U1498" i="3"/>
  <c r="K1498" i="3"/>
  <c r="E1498" i="3"/>
  <c r="B1498" i="3"/>
  <c r="U1497" i="3"/>
  <c r="K1497" i="3"/>
  <c r="E1497" i="3"/>
  <c r="B1497" i="3"/>
  <c r="U1496" i="3"/>
  <c r="K1496" i="3"/>
  <c r="E1496" i="3"/>
  <c r="B1496" i="3"/>
  <c r="U1495" i="3"/>
  <c r="K1495" i="3"/>
  <c r="E1495" i="3"/>
  <c r="B1495" i="3"/>
  <c r="U1494" i="3"/>
  <c r="K1494" i="3"/>
  <c r="E1494" i="3"/>
  <c r="B1494" i="3"/>
  <c r="U1493" i="3"/>
  <c r="K1493" i="3"/>
  <c r="E1493" i="3"/>
  <c r="B1493" i="3"/>
  <c r="U1492" i="3"/>
  <c r="K1492" i="3"/>
  <c r="E1492" i="3"/>
  <c r="B1492" i="3"/>
  <c r="U1491" i="3"/>
  <c r="K1491" i="3"/>
  <c r="E1491" i="3"/>
  <c r="B1491" i="3"/>
  <c r="U1490" i="3"/>
  <c r="K1490" i="3"/>
  <c r="E1490" i="3"/>
  <c r="B1490" i="3"/>
  <c r="U1489" i="3"/>
  <c r="K1489" i="3"/>
  <c r="E1489" i="3"/>
  <c r="B1489" i="3"/>
  <c r="U1488" i="3"/>
  <c r="K1488" i="3"/>
  <c r="E1488" i="3"/>
  <c r="B1488" i="3"/>
  <c r="U1487" i="3"/>
  <c r="K1487" i="3"/>
  <c r="E1487" i="3"/>
  <c r="B1487" i="3"/>
  <c r="U1486" i="3"/>
  <c r="K1486" i="3"/>
  <c r="E1486" i="3"/>
  <c r="B1486" i="3"/>
  <c r="U1485" i="3"/>
  <c r="K1485" i="3"/>
  <c r="E1485" i="3"/>
  <c r="B1485" i="3"/>
  <c r="U1484" i="3"/>
  <c r="K1484" i="3"/>
  <c r="E1484" i="3"/>
  <c r="B1484" i="3"/>
  <c r="U1483" i="3"/>
  <c r="K1483" i="3"/>
  <c r="E1483" i="3"/>
  <c r="B1483" i="3"/>
  <c r="U1482" i="3"/>
  <c r="K1482" i="3"/>
  <c r="E1482" i="3"/>
  <c r="B1482" i="3"/>
  <c r="U1481" i="3"/>
  <c r="K1481" i="3"/>
  <c r="E1481" i="3"/>
  <c r="B1481" i="3"/>
  <c r="U1480" i="3"/>
  <c r="K1480" i="3"/>
  <c r="E1480" i="3"/>
  <c r="B1480" i="3"/>
  <c r="U1479" i="3"/>
  <c r="K1479" i="3"/>
  <c r="E1479" i="3"/>
  <c r="B1479" i="3"/>
  <c r="U1478" i="3"/>
  <c r="K1478" i="3"/>
  <c r="E1478" i="3"/>
  <c r="B1478" i="3"/>
  <c r="U1477" i="3"/>
  <c r="K1477" i="3"/>
  <c r="E1477" i="3"/>
  <c r="B1477" i="3"/>
  <c r="U1476" i="3"/>
  <c r="K1476" i="3"/>
  <c r="E1476" i="3"/>
  <c r="B1476" i="3"/>
  <c r="U1475" i="3"/>
  <c r="K1475" i="3"/>
  <c r="E1475" i="3"/>
  <c r="B1475" i="3"/>
  <c r="U1474" i="3"/>
  <c r="K1474" i="3"/>
  <c r="E1474" i="3"/>
  <c r="B1474" i="3"/>
  <c r="U1473" i="3"/>
  <c r="K1473" i="3"/>
  <c r="E1473" i="3"/>
  <c r="B1473" i="3"/>
  <c r="U1472" i="3"/>
  <c r="K1472" i="3"/>
  <c r="E1472" i="3"/>
  <c r="B1472" i="3"/>
  <c r="U1471" i="3"/>
  <c r="K1471" i="3"/>
  <c r="E1471" i="3"/>
  <c r="B1471" i="3"/>
  <c r="U1470" i="3"/>
  <c r="K1470" i="3"/>
  <c r="E1470" i="3"/>
  <c r="B1470" i="3"/>
  <c r="U1469" i="3"/>
  <c r="K1469" i="3"/>
  <c r="E1469" i="3"/>
  <c r="B1469" i="3"/>
  <c r="U1468" i="3"/>
  <c r="K1468" i="3"/>
  <c r="E1468" i="3"/>
  <c r="B1468" i="3"/>
  <c r="U1467" i="3"/>
  <c r="K1467" i="3"/>
  <c r="E1467" i="3"/>
  <c r="B1467" i="3"/>
  <c r="U1466" i="3"/>
  <c r="K1466" i="3"/>
  <c r="E1466" i="3"/>
  <c r="B1466" i="3"/>
  <c r="U1465" i="3"/>
  <c r="K1465" i="3"/>
  <c r="E1465" i="3"/>
  <c r="B1465" i="3"/>
  <c r="U1464" i="3"/>
  <c r="K1464" i="3"/>
  <c r="E1464" i="3"/>
  <c r="B1464" i="3"/>
  <c r="U1463" i="3"/>
  <c r="K1463" i="3"/>
  <c r="E1463" i="3"/>
  <c r="B1463" i="3"/>
  <c r="U1462" i="3"/>
  <c r="K1462" i="3"/>
  <c r="E1462" i="3"/>
  <c r="B1462" i="3"/>
  <c r="U1461" i="3"/>
  <c r="K1461" i="3"/>
  <c r="E1461" i="3"/>
  <c r="B1461" i="3"/>
  <c r="U1460" i="3"/>
  <c r="K1460" i="3"/>
  <c r="E1460" i="3"/>
  <c r="B1460" i="3"/>
  <c r="U1459" i="3"/>
  <c r="K1459" i="3"/>
  <c r="E1459" i="3"/>
  <c r="B1459" i="3"/>
  <c r="U1458" i="3"/>
  <c r="K1458" i="3"/>
  <c r="E1458" i="3"/>
  <c r="B1458" i="3"/>
  <c r="U1457" i="3"/>
  <c r="K1457" i="3"/>
  <c r="E1457" i="3"/>
  <c r="B1457" i="3"/>
  <c r="U1456" i="3"/>
  <c r="K1456" i="3"/>
  <c r="E1456" i="3"/>
  <c r="B1456" i="3"/>
  <c r="U1455" i="3"/>
  <c r="K1455" i="3"/>
  <c r="E1455" i="3"/>
  <c r="B1455" i="3"/>
  <c r="U1454" i="3"/>
  <c r="K1454" i="3"/>
  <c r="E1454" i="3"/>
  <c r="B1454" i="3"/>
  <c r="U1453" i="3"/>
  <c r="K1453" i="3"/>
  <c r="E1453" i="3"/>
  <c r="B1453" i="3"/>
  <c r="U1452" i="3"/>
  <c r="K1452" i="3"/>
  <c r="E1452" i="3"/>
  <c r="B1452" i="3"/>
  <c r="U1451" i="3"/>
  <c r="K1451" i="3"/>
  <c r="E1451" i="3"/>
  <c r="B1451" i="3"/>
  <c r="U1450" i="3"/>
  <c r="K1450" i="3"/>
  <c r="E1450" i="3"/>
  <c r="B1450" i="3"/>
  <c r="U1449" i="3"/>
  <c r="K1449" i="3"/>
  <c r="E1449" i="3"/>
  <c r="B1449" i="3"/>
  <c r="U1448" i="3"/>
  <c r="K1448" i="3"/>
  <c r="E1448" i="3"/>
  <c r="B1448" i="3"/>
  <c r="U1447" i="3"/>
  <c r="K1447" i="3"/>
  <c r="E1447" i="3"/>
  <c r="B1447" i="3"/>
  <c r="U1446" i="3"/>
  <c r="K1446" i="3"/>
  <c r="E1446" i="3"/>
  <c r="B1446" i="3"/>
  <c r="U1445" i="3"/>
  <c r="K1445" i="3"/>
  <c r="E1445" i="3"/>
  <c r="B1445" i="3"/>
  <c r="U1444" i="3"/>
  <c r="K1444" i="3"/>
  <c r="E1444" i="3"/>
  <c r="B1444" i="3"/>
  <c r="K1443" i="3"/>
  <c r="E1443" i="3"/>
  <c r="B1443" i="3"/>
  <c r="U1442" i="3"/>
  <c r="K1442" i="3"/>
  <c r="E1442" i="3"/>
  <c r="B1442" i="3"/>
  <c r="U1441" i="3"/>
  <c r="K1441" i="3"/>
  <c r="E1441" i="3"/>
  <c r="B1441" i="3"/>
  <c r="U1440" i="3"/>
  <c r="K1440" i="3"/>
  <c r="E1440" i="3"/>
  <c r="B1440" i="3"/>
  <c r="U1439" i="3"/>
  <c r="K1439" i="3"/>
  <c r="E1439" i="3"/>
  <c r="B1439" i="3"/>
  <c r="U1438" i="3"/>
  <c r="K1438" i="3"/>
  <c r="E1438" i="3"/>
  <c r="B1438" i="3"/>
  <c r="U1437" i="3"/>
  <c r="K1437" i="3"/>
  <c r="E1437" i="3"/>
  <c r="B1437" i="3"/>
  <c r="U1436" i="3"/>
  <c r="K1436" i="3"/>
  <c r="E1436" i="3"/>
  <c r="B1436" i="3"/>
  <c r="U1435" i="3"/>
  <c r="K1435" i="3"/>
  <c r="E1435" i="3"/>
  <c r="B1435" i="3"/>
  <c r="U1434" i="3"/>
  <c r="K1434" i="3"/>
  <c r="E1434" i="3"/>
  <c r="B1434" i="3"/>
  <c r="U1433" i="3"/>
  <c r="K1433" i="3"/>
  <c r="E1433" i="3"/>
  <c r="B1433" i="3"/>
  <c r="U1432" i="3"/>
  <c r="K1432" i="3"/>
  <c r="E1432" i="3"/>
  <c r="B1432" i="3"/>
  <c r="U1431" i="3"/>
  <c r="K1431" i="3"/>
  <c r="E1431" i="3"/>
  <c r="B1431" i="3"/>
  <c r="U1430" i="3"/>
  <c r="K1430" i="3"/>
  <c r="E1430" i="3"/>
  <c r="B1430" i="3"/>
  <c r="U1429" i="3"/>
  <c r="K1429" i="3"/>
  <c r="E1429" i="3"/>
  <c r="B1429" i="3"/>
  <c r="U1428" i="3"/>
  <c r="K1428" i="3"/>
  <c r="E1428" i="3"/>
  <c r="B1428" i="3"/>
  <c r="U1427" i="3"/>
  <c r="K1427" i="3"/>
  <c r="E1427" i="3"/>
  <c r="B1427" i="3"/>
  <c r="U1426" i="3"/>
  <c r="K1426" i="3"/>
  <c r="E1426" i="3"/>
  <c r="B1426" i="3"/>
  <c r="U1425" i="3"/>
  <c r="K1425" i="3"/>
  <c r="E1425" i="3"/>
  <c r="B1425" i="3"/>
  <c r="U1424" i="3"/>
  <c r="K1424" i="3"/>
  <c r="E1424" i="3"/>
  <c r="B1424" i="3"/>
  <c r="U1423" i="3"/>
  <c r="K1423" i="3"/>
  <c r="E1423" i="3"/>
  <c r="B1423" i="3"/>
  <c r="U1422" i="3"/>
  <c r="K1422" i="3"/>
  <c r="E1422" i="3"/>
  <c r="B1422" i="3"/>
  <c r="U1421" i="3"/>
  <c r="K1421" i="3"/>
  <c r="E1421" i="3"/>
  <c r="B1421" i="3"/>
  <c r="U1420" i="3"/>
  <c r="K1420" i="3"/>
  <c r="E1420" i="3"/>
  <c r="B1420" i="3"/>
  <c r="U1419" i="3"/>
  <c r="K1419" i="3"/>
  <c r="E1419" i="3"/>
  <c r="B1419" i="3"/>
  <c r="U1418" i="3"/>
  <c r="K1418" i="3"/>
  <c r="E1418" i="3"/>
  <c r="B1418" i="3"/>
  <c r="U1417" i="3"/>
  <c r="K1417" i="3"/>
  <c r="E1417" i="3"/>
  <c r="B1417" i="3"/>
  <c r="U1416" i="3"/>
  <c r="K1416" i="3"/>
  <c r="E1416" i="3"/>
  <c r="B1416" i="3"/>
  <c r="U1415" i="3"/>
  <c r="K1415" i="3"/>
  <c r="E1415" i="3"/>
  <c r="B1415" i="3"/>
  <c r="U1414" i="3"/>
  <c r="K1414" i="3"/>
  <c r="E1414" i="3"/>
  <c r="B1414" i="3"/>
  <c r="U1413" i="3"/>
  <c r="K1413" i="3"/>
  <c r="E1413" i="3"/>
  <c r="B1413" i="3"/>
  <c r="U1412" i="3"/>
  <c r="K1412" i="3"/>
  <c r="E1412" i="3"/>
  <c r="B1412" i="3"/>
  <c r="U1411" i="3"/>
  <c r="K1411" i="3"/>
  <c r="E1411" i="3"/>
  <c r="B1411" i="3"/>
  <c r="U1410" i="3"/>
  <c r="K1410" i="3"/>
  <c r="E1410" i="3"/>
  <c r="B1410" i="3"/>
  <c r="U1409" i="3"/>
  <c r="K1409" i="3"/>
  <c r="E1409" i="3"/>
  <c r="B1409" i="3"/>
  <c r="U1408" i="3"/>
  <c r="K1408" i="3"/>
  <c r="E1408" i="3"/>
  <c r="B1408" i="3"/>
  <c r="U1407" i="3"/>
  <c r="K1407" i="3"/>
  <c r="E1407" i="3"/>
  <c r="B1407" i="3"/>
  <c r="U1406" i="3"/>
  <c r="K1406" i="3"/>
  <c r="E1406" i="3"/>
  <c r="B1406" i="3"/>
  <c r="U1405" i="3"/>
  <c r="K1405" i="3"/>
  <c r="E1405" i="3"/>
  <c r="B1405" i="3"/>
  <c r="U1404" i="3"/>
  <c r="K1404" i="3"/>
  <c r="E1404" i="3"/>
  <c r="B1404" i="3"/>
  <c r="U1403" i="3"/>
  <c r="K1403" i="3"/>
  <c r="E1403" i="3"/>
  <c r="B1403" i="3"/>
  <c r="U1402" i="3"/>
  <c r="K1402" i="3"/>
  <c r="E1402" i="3"/>
  <c r="B1402" i="3"/>
  <c r="U1401" i="3"/>
  <c r="K1401" i="3"/>
  <c r="E1401" i="3"/>
  <c r="B1401" i="3"/>
  <c r="U1400" i="3"/>
  <c r="K1400" i="3"/>
  <c r="E1400" i="3"/>
  <c r="B1400" i="3"/>
  <c r="U1399" i="3"/>
  <c r="K1399" i="3"/>
  <c r="E1399" i="3"/>
  <c r="B1399" i="3"/>
  <c r="U1398" i="3"/>
  <c r="K1398" i="3"/>
  <c r="E1398" i="3"/>
  <c r="B1398" i="3"/>
  <c r="U1397" i="3"/>
  <c r="K1397" i="3"/>
  <c r="E1397" i="3"/>
  <c r="B1397" i="3"/>
  <c r="U1396" i="3"/>
  <c r="K1396" i="3"/>
  <c r="E1396" i="3"/>
  <c r="B1396" i="3"/>
  <c r="U1395" i="3"/>
  <c r="K1395" i="3"/>
  <c r="E1395" i="3"/>
  <c r="B1395" i="3"/>
  <c r="U1394" i="3"/>
  <c r="K1394" i="3"/>
  <c r="E1394" i="3"/>
  <c r="B1394" i="3"/>
  <c r="U1393" i="3"/>
  <c r="K1393" i="3"/>
  <c r="E1393" i="3"/>
  <c r="B1393" i="3"/>
  <c r="U1392" i="3"/>
  <c r="K1392" i="3"/>
  <c r="E1392" i="3"/>
  <c r="B1392" i="3"/>
  <c r="U1391" i="3"/>
  <c r="K1391" i="3"/>
  <c r="E1391" i="3"/>
  <c r="B1391" i="3"/>
  <c r="U1390" i="3"/>
  <c r="K1390" i="3"/>
  <c r="E1390" i="3"/>
  <c r="B1390" i="3"/>
  <c r="U1389" i="3"/>
  <c r="K1389" i="3"/>
  <c r="E1389" i="3"/>
  <c r="B1389" i="3"/>
  <c r="U1388" i="3"/>
  <c r="K1388" i="3"/>
  <c r="E1388" i="3"/>
  <c r="B1388" i="3"/>
  <c r="U1387" i="3"/>
  <c r="K1387" i="3"/>
  <c r="E1387" i="3"/>
  <c r="B1387" i="3"/>
  <c r="U1386" i="3"/>
  <c r="K1386" i="3"/>
  <c r="E1386" i="3"/>
  <c r="B1386" i="3"/>
  <c r="U1385" i="3"/>
  <c r="K1385" i="3"/>
  <c r="E1385" i="3"/>
  <c r="B1385" i="3"/>
  <c r="U1384" i="3"/>
  <c r="K1384" i="3"/>
  <c r="E1384" i="3"/>
  <c r="B1384" i="3"/>
  <c r="U1383" i="3"/>
  <c r="K1383" i="3"/>
  <c r="E1383" i="3"/>
  <c r="B1383" i="3"/>
  <c r="U1382" i="3"/>
  <c r="K1382" i="3"/>
  <c r="E1382" i="3"/>
  <c r="B1382" i="3"/>
  <c r="U1381" i="3"/>
  <c r="K1381" i="3"/>
  <c r="E1381" i="3"/>
  <c r="B1381" i="3"/>
  <c r="U1380" i="3"/>
  <c r="K1380" i="3"/>
  <c r="E1380" i="3"/>
  <c r="B1380" i="3"/>
  <c r="U1379" i="3"/>
  <c r="K1379" i="3"/>
  <c r="E1379" i="3"/>
  <c r="B1379" i="3"/>
  <c r="U1378" i="3"/>
  <c r="K1378" i="3"/>
  <c r="E1378" i="3"/>
  <c r="B1378" i="3"/>
  <c r="U1377" i="3"/>
  <c r="K1377" i="3"/>
  <c r="E1377" i="3"/>
  <c r="B1377" i="3"/>
  <c r="U1376" i="3"/>
  <c r="K1376" i="3"/>
  <c r="E1376" i="3"/>
  <c r="B1376" i="3"/>
  <c r="U1375" i="3"/>
  <c r="K1375" i="3"/>
  <c r="E1375" i="3"/>
  <c r="B1375" i="3"/>
  <c r="U1374" i="3"/>
  <c r="K1374" i="3"/>
  <c r="E1374" i="3"/>
  <c r="B1374" i="3"/>
  <c r="U1373" i="3"/>
  <c r="K1373" i="3"/>
  <c r="E1373" i="3"/>
  <c r="B1373" i="3"/>
  <c r="U1372" i="3"/>
  <c r="K1372" i="3"/>
  <c r="E1372" i="3"/>
  <c r="B1372" i="3"/>
  <c r="K1371" i="3"/>
  <c r="E1371" i="3"/>
  <c r="B1371" i="3"/>
  <c r="U1370" i="3"/>
  <c r="K1370" i="3"/>
  <c r="E1370" i="3"/>
  <c r="B1370" i="3"/>
  <c r="U1369" i="3"/>
  <c r="K1369" i="3"/>
  <c r="E1369" i="3"/>
  <c r="B1369" i="3"/>
  <c r="U1368" i="3"/>
  <c r="K1368" i="3"/>
  <c r="E1368" i="3"/>
  <c r="B1368" i="3"/>
  <c r="U1367" i="3"/>
  <c r="K1367" i="3"/>
  <c r="E1367" i="3"/>
  <c r="B1367" i="3"/>
  <c r="U1366" i="3"/>
  <c r="K1366" i="3"/>
  <c r="E1366" i="3"/>
  <c r="B1366" i="3"/>
  <c r="U1365" i="3"/>
  <c r="K1365" i="3"/>
  <c r="E1365" i="3"/>
  <c r="B1365" i="3"/>
  <c r="U1364" i="3"/>
  <c r="K1364" i="3"/>
  <c r="E1364" i="3"/>
  <c r="B1364" i="3"/>
  <c r="U1363" i="3"/>
  <c r="K1363" i="3"/>
  <c r="E1363" i="3"/>
  <c r="B1363" i="3"/>
  <c r="U1362" i="3"/>
  <c r="K1362" i="3"/>
  <c r="E1362" i="3"/>
  <c r="B1362" i="3"/>
  <c r="U1361" i="3"/>
  <c r="K1361" i="3"/>
  <c r="E1361" i="3"/>
  <c r="B1361" i="3"/>
  <c r="K1360" i="3"/>
  <c r="E1360" i="3"/>
  <c r="B1360" i="3"/>
  <c r="U1359" i="3"/>
  <c r="K1359" i="3"/>
  <c r="E1359" i="3"/>
  <c r="B1359" i="3"/>
  <c r="U1358" i="3"/>
  <c r="K1358" i="3"/>
  <c r="E1358" i="3"/>
  <c r="B1358" i="3"/>
  <c r="U1357" i="3"/>
  <c r="K1357" i="3"/>
  <c r="E1357" i="3"/>
  <c r="B1357" i="3"/>
  <c r="U1356" i="3"/>
  <c r="K1356" i="3"/>
  <c r="E1356" i="3"/>
  <c r="B1356" i="3"/>
  <c r="K1355" i="3"/>
  <c r="E1355" i="3"/>
  <c r="B1355" i="3"/>
  <c r="U1354" i="3"/>
  <c r="K1354" i="3"/>
  <c r="E1354" i="3"/>
  <c r="B1354" i="3"/>
  <c r="U1353" i="3"/>
  <c r="K1353" i="3"/>
  <c r="E1353" i="3"/>
  <c r="B1353" i="3"/>
  <c r="K1352" i="3"/>
  <c r="E1352" i="3"/>
  <c r="B1352" i="3"/>
  <c r="U1351" i="3"/>
  <c r="K1351" i="3"/>
  <c r="E1351" i="3"/>
  <c r="B1351" i="3"/>
  <c r="U1350" i="3"/>
  <c r="K1350" i="3"/>
  <c r="E1350" i="3"/>
  <c r="B1350" i="3"/>
  <c r="U1349" i="3"/>
  <c r="K1349" i="3"/>
  <c r="E1349" i="3"/>
  <c r="B1349" i="3"/>
  <c r="U1348" i="3"/>
  <c r="K1348" i="3"/>
  <c r="E1348" i="3"/>
  <c r="B1348" i="3"/>
  <c r="U1347" i="3"/>
  <c r="K1347" i="3"/>
  <c r="E1347" i="3"/>
  <c r="B1347" i="3"/>
  <c r="U1346" i="3"/>
  <c r="K1346" i="3"/>
  <c r="E1346" i="3"/>
  <c r="B1346" i="3"/>
  <c r="U1345" i="3"/>
  <c r="K1345" i="3"/>
  <c r="E1345" i="3"/>
  <c r="B1345" i="3"/>
  <c r="U1344" i="3"/>
  <c r="K1344" i="3"/>
  <c r="E1344" i="3"/>
  <c r="B1344" i="3"/>
  <c r="U1343" i="3"/>
  <c r="K1343" i="3"/>
  <c r="E1343" i="3"/>
  <c r="B1343" i="3"/>
  <c r="U1342" i="3"/>
  <c r="K1342" i="3"/>
  <c r="E1342" i="3"/>
  <c r="B1342" i="3"/>
  <c r="U1341" i="3"/>
  <c r="K1341" i="3"/>
  <c r="E1341" i="3"/>
  <c r="B1341" i="3"/>
  <c r="U1340" i="3"/>
  <c r="K1340" i="3"/>
  <c r="E1340" i="3"/>
  <c r="B1340" i="3"/>
  <c r="U1339" i="3"/>
  <c r="K1339" i="3"/>
  <c r="E1339" i="3"/>
  <c r="B1339" i="3"/>
  <c r="U1338" i="3"/>
  <c r="K1338" i="3"/>
  <c r="E1338" i="3"/>
  <c r="B1338" i="3"/>
  <c r="U1337" i="3"/>
  <c r="K1337" i="3"/>
  <c r="E1337" i="3"/>
  <c r="B1337" i="3"/>
  <c r="U1336" i="3"/>
  <c r="K1336" i="3"/>
  <c r="E1336" i="3"/>
  <c r="B1336" i="3"/>
  <c r="U1335" i="3"/>
  <c r="K1335" i="3"/>
  <c r="E1335" i="3"/>
  <c r="B1335" i="3"/>
  <c r="U1334" i="3"/>
  <c r="K1334" i="3"/>
  <c r="E1334" i="3"/>
  <c r="B1334" i="3"/>
  <c r="U1333" i="3"/>
  <c r="K1333" i="3"/>
  <c r="E1333" i="3"/>
  <c r="B1333" i="3"/>
  <c r="U1332" i="3"/>
  <c r="K1332" i="3"/>
  <c r="E1332" i="3"/>
  <c r="B1332" i="3"/>
  <c r="U1331" i="3"/>
  <c r="K1331" i="3"/>
  <c r="E1331" i="3"/>
  <c r="B1331" i="3"/>
  <c r="U1330" i="3"/>
  <c r="K1330" i="3"/>
  <c r="E1330" i="3"/>
  <c r="B1330" i="3"/>
  <c r="U1329" i="3"/>
  <c r="K1329" i="3"/>
  <c r="E1329" i="3"/>
  <c r="B1329" i="3"/>
  <c r="U1328" i="3"/>
  <c r="K1328" i="3"/>
  <c r="E1328" i="3"/>
  <c r="B1328" i="3"/>
  <c r="U1327" i="3"/>
  <c r="K1327" i="3"/>
  <c r="E1327" i="3"/>
  <c r="B1327" i="3"/>
  <c r="U1326" i="3"/>
  <c r="K1326" i="3"/>
  <c r="E1326" i="3"/>
  <c r="B1326" i="3"/>
  <c r="U1325" i="3"/>
  <c r="K1325" i="3"/>
  <c r="E1325" i="3"/>
  <c r="B1325" i="3"/>
  <c r="U1324" i="3"/>
  <c r="K1324" i="3"/>
  <c r="E1324" i="3"/>
  <c r="B1324" i="3"/>
  <c r="U1323" i="3"/>
  <c r="K1323" i="3"/>
  <c r="E1323" i="3"/>
  <c r="B1323" i="3"/>
  <c r="U1322" i="3"/>
  <c r="K1322" i="3"/>
  <c r="E1322" i="3"/>
  <c r="B1322" i="3"/>
  <c r="U1321" i="3"/>
  <c r="K1321" i="3"/>
  <c r="E1321" i="3"/>
  <c r="B1321" i="3"/>
  <c r="U1320" i="3"/>
  <c r="K1320" i="3"/>
  <c r="E1320" i="3"/>
  <c r="B1320" i="3"/>
  <c r="U1319" i="3"/>
  <c r="K1319" i="3"/>
  <c r="E1319" i="3"/>
  <c r="B1319" i="3"/>
  <c r="U1318" i="3"/>
  <c r="K1318" i="3"/>
  <c r="E1318" i="3"/>
  <c r="B1318" i="3"/>
  <c r="U1317" i="3"/>
  <c r="K1317" i="3"/>
  <c r="E1317" i="3"/>
  <c r="B1317" i="3"/>
  <c r="U1316" i="3"/>
  <c r="K1316" i="3"/>
  <c r="E1316" i="3"/>
  <c r="B1316" i="3"/>
  <c r="U1315" i="3"/>
  <c r="K1315" i="3"/>
  <c r="E1315" i="3"/>
  <c r="B1315" i="3"/>
  <c r="U1314" i="3"/>
  <c r="K1314" i="3"/>
  <c r="E1314" i="3"/>
  <c r="B1314" i="3"/>
  <c r="U1313" i="3"/>
  <c r="K1313" i="3"/>
  <c r="E1313" i="3"/>
  <c r="B1313" i="3"/>
  <c r="U1312" i="3"/>
  <c r="K1312" i="3"/>
  <c r="E1312" i="3"/>
  <c r="B1312" i="3"/>
  <c r="U1311" i="3"/>
  <c r="K1311" i="3"/>
  <c r="E1311" i="3"/>
  <c r="B1311" i="3"/>
  <c r="U1310" i="3"/>
  <c r="K1310" i="3"/>
  <c r="E1310" i="3"/>
  <c r="B1310" i="3"/>
  <c r="U1309" i="3"/>
  <c r="K1309" i="3"/>
  <c r="E1309" i="3"/>
  <c r="B1309" i="3"/>
  <c r="U1308" i="3"/>
  <c r="K1308" i="3"/>
  <c r="E1308" i="3"/>
  <c r="B1308" i="3"/>
  <c r="U1307" i="3"/>
  <c r="K1307" i="3"/>
  <c r="E1307" i="3"/>
  <c r="B1307" i="3"/>
  <c r="U1306" i="3"/>
  <c r="K1306" i="3"/>
  <c r="E1306" i="3"/>
  <c r="B1306" i="3"/>
  <c r="U1305" i="3"/>
  <c r="K1305" i="3"/>
  <c r="E1305" i="3"/>
  <c r="B1305" i="3"/>
  <c r="U1304" i="3"/>
  <c r="K1304" i="3"/>
  <c r="E1304" i="3"/>
  <c r="B1304" i="3"/>
  <c r="U1303" i="3"/>
  <c r="K1303" i="3"/>
  <c r="E1303" i="3"/>
  <c r="B1303" i="3"/>
  <c r="U1302" i="3"/>
  <c r="K1302" i="3"/>
  <c r="E1302" i="3"/>
  <c r="B1302" i="3"/>
  <c r="U1301" i="3"/>
  <c r="K1301" i="3"/>
  <c r="E1301" i="3"/>
  <c r="B1301" i="3"/>
  <c r="U1300" i="3"/>
  <c r="K1300" i="3"/>
  <c r="E1300" i="3"/>
  <c r="B1300" i="3"/>
  <c r="U1299" i="3"/>
  <c r="K1299" i="3"/>
  <c r="E1299" i="3"/>
  <c r="B1299" i="3"/>
  <c r="U1298" i="3"/>
  <c r="K1298" i="3"/>
  <c r="E1298" i="3"/>
  <c r="B1298" i="3"/>
  <c r="U1297" i="3"/>
  <c r="K1297" i="3"/>
  <c r="E1297" i="3"/>
  <c r="B1297" i="3"/>
  <c r="K1296" i="3"/>
  <c r="E1296" i="3"/>
  <c r="B1296" i="3"/>
  <c r="U1295" i="3"/>
  <c r="K1295" i="3"/>
  <c r="E1295" i="3"/>
  <c r="B1295" i="3"/>
  <c r="U1294" i="3"/>
  <c r="K1294" i="3"/>
  <c r="E1294" i="3"/>
  <c r="B1294" i="3"/>
  <c r="U1293" i="3"/>
  <c r="K1293" i="3"/>
  <c r="E1293" i="3"/>
  <c r="B1293" i="3"/>
  <c r="U1292" i="3"/>
  <c r="K1292" i="3"/>
  <c r="E1292" i="3"/>
  <c r="B1292" i="3"/>
  <c r="U1291" i="3"/>
  <c r="K1291" i="3"/>
  <c r="E1291" i="3"/>
  <c r="B1291" i="3"/>
  <c r="U1290" i="3"/>
  <c r="K1290" i="3"/>
  <c r="E1290" i="3"/>
  <c r="B1290" i="3"/>
  <c r="U1289" i="3"/>
  <c r="K1289" i="3"/>
  <c r="E1289" i="3"/>
  <c r="B1289" i="3"/>
  <c r="U1288" i="3"/>
  <c r="K1288" i="3"/>
  <c r="E1288" i="3"/>
  <c r="B1288" i="3"/>
  <c r="U1287" i="3"/>
  <c r="K1287" i="3"/>
  <c r="E1287" i="3"/>
  <c r="B1287" i="3"/>
  <c r="U1286" i="3"/>
  <c r="K1286" i="3"/>
  <c r="E1286" i="3"/>
  <c r="B1286" i="3"/>
  <c r="U1285" i="3"/>
  <c r="K1285" i="3"/>
  <c r="E1285" i="3"/>
  <c r="B1285" i="3"/>
  <c r="U1284" i="3"/>
  <c r="K1284" i="3"/>
  <c r="E1284" i="3"/>
  <c r="B1284" i="3"/>
  <c r="U1283" i="3"/>
  <c r="K1283" i="3"/>
  <c r="E1283" i="3"/>
  <c r="B1283" i="3"/>
  <c r="U1282" i="3"/>
  <c r="K1282" i="3"/>
  <c r="E1282" i="3"/>
  <c r="B1282" i="3"/>
  <c r="U1281" i="3"/>
  <c r="K1281" i="3"/>
  <c r="E1281" i="3"/>
  <c r="B1281" i="3"/>
  <c r="U1280" i="3"/>
  <c r="K1280" i="3"/>
  <c r="E1280" i="3"/>
  <c r="B1280" i="3"/>
  <c r="U1279" i="3"/>
  <c r="K1279" i="3"/>
  <c r="E1279" i="3"/>
  <c r="B1279" i="3"/>
  <c r="U1278" i="3"/>
  <c r="K1278" i="3"/>
  <c r="E1278" i="3"/>
  <c r="B1278" i="3"/>
  <c r="U1277" i="3"/>
  <c r="K1277" i="3"/>
  <c r="E1277" i="3"/>
  <c r="B1277" i="3"/>
  <c r="U1276" i="3"/>
  <c r="K1276" i="3"/>
  <c r="E1276" i="3"/>
  <c r="B1276" i="3"/>
  <c r="U1275" i="3"/>
  <c r="K1275" i="3"/>
  <c r="E1275" i="3"/>
  <c r="B1275" i="3"/>
  <c r="U1274" i="3"/>
  <c r="K1274" i="3"/>
  <c r="E1274" i="3"/>
  <c r="B1274" i="3"/>
  <c r="U1273" i="3"/>
  <c r="K1273" i="3"/>
  <c r="E1273" i="3"/>
  <c r="B1273" i="3"/>
  <c r="U1272" i="3"/>
  <c r="K1272" i="3"/>
  <c r="E1272" i="3"/>
  <c r="B1272" i="3"/>
  <c r="U1271" i="3"/>
  <c r="K1271" i="3"/>
  <c r="E1271" i="3"/>
  <c r="B1271" i="3"/>
  <c r="K1270" i="3"/>
  <c r="E1270" i="3"/>
  <c r="B1270" i="3"/>
  <c r="U1269" i="3"/>
  <c r="K1269" i="3"/>
  <c r="E1269" i="3"/>
  <c r="B1269" i="3"/>
  <c r="U1268" i="3"/>
  <c r="K1268" i="3"/>
  <c r="E1268" i="3"/>
  <c r="B1268" i="3"/>
  <c r="U1267" i="3"/>
  <c r="K1267" i="3"/>
  <c r="E1267" i="3"/>
  <c r="B1267" i="3"/>
  <c r="U1266" i="3"/>
  <c r="K1266" i="3"/>
  <c r="E1266" i="3"/>
  <c r="B1266" i="3"/>
  <c r="U1265" i="3"/>
  <c r="K1265" i="3"/>
  <c r="E1265" i="3"/>
  <c r="B1265" i="3"/>
  <c r="U1264" i="3"/>
  <c r="K1264" i="3"/>
  <c r="E1264" i="3"/>
  <c r="B1264" i="3"/>
  <c r="U1263" i="3"/>
  <c r="K1263" i="3"/>
  <c r="E1263" i="3"/>
  <c r="B1263" i="3"/>
  <c r="U1262" i="3"/>
  <c r="K1262" i="3"/>
  <c r="E1262" i="3"/>
  <c r="B1262" i="3"/>
  <c r="U1261" i="3"/>
  <c r="K1261" i="3"/>
  <c r="E1261" i="3"/>
  <c r="B1261" i="3"/>
  <c r="U1260" i="3"/>
  <c r="K1260" i="3"/>
  <c r="E1260" i="3"/>
  <c r="B1260" i="3"/>
  <c r="U1259" i="3"/>
  <c r="K1259" i="3"/>
  <c r="E1259" i="3"/>
  <c r="B1259" i="3"/>
  <c r="U1258" i="3"/>
  <c r="K1258" i="3"/>
  <c r="E1258" i="3"/>
  <c r="B1258" i="3"/>
  <c r="U1257" i="3"/>
  <c r="K1257" i="3"/>
  <c r="E1257" i="3"/>
  <c r="B1257" i="3"/>
  <c r="U1256" i="3"/>
  <c r="K1256" i="3"/>
  <c r="E1256" i="3"/>
  <c r="B1256" i="3"/>
  <c r="U1255" i="3"/>
  <c r="K1255" i="3"/>
  <c r="E1255" i="3"/>
  <c r="B1255" i="3"/>
  <c r="U1254" i="3"/>
  <c r="K1254" i="3"/>
  <c r="E1254" i="3"/>
  <c r="B1254" i="3"/>
  <c r="U1253" i="3"/>
  <c r="K1253" i="3"/>
  <c r="E1253" i="3"/>
  <c r="B1253" i="3"/>
  <c r="U1252" i="3"/>
  <c r="K1252" i="3"/>
  <c r="E1252" i="3"/>
  <c r="B1252" i="3"/>
  <c r="U1251" i="3"/>
  <c r="K1251" i="3"/>
  <c r="E1251" i="3"/>
  <c r="B1251" i="3"/>
  <c r="U1250" i="3"/>
  <c r="K1250" i="3"/>
  <c r="E1250" i="3"/>
  <c r="B1250" i="3"/>
  <c r="U1249" i="3"/>
  <c r="K1249" i="3"/>
  <c r="E1249" i="3"/>
  <c r="B1249" i="3"/>
  <c r="U1248" i="3"/>
  <c r="K1248" i="3"/>
  <c r="E1248" i="3"/>
  <c r="B1248" i="3"/>
  <c r="U1247" i="3"/>
  <c r="K1247" i="3"/>
  <c r="E1247" i="3"/>
  <c r="B1247" i="3"/>
  <c r="U1246" i="3"/>
  <c r="K1246" i="3"/>
  <c r="E1246" i="3"/>
  <c r="B1246" i="3"/>
  <c r="U1245" i="3"/>
  <c r="K1245" i="3"/>
  <c r="E1245" i="3"/>
  <c r="B1245" i="3"/>
  <c r="U1244" i="3"/>
  <c r="K1244" i="3"/>
  <c r="E1244" i="3"/>
  <c r="B1244" i="3"/>
  <c r="U1243" i="3"/>
  <c r="K1243" i="3"/>
  <c r="E1243" i="3"/>
  <c r="B1243" i="3"/>
  <c r="U1242" i="3"/>
  <c r="K1242" i="3"/>
  <c r="E1242" i="3"/>
  <c r="B1242" i="3"/>
  <c r="U1241" i="3"/>
  <c r="K1241" i="3"/>
  <c r="E1241" i="3"/>
  <c r="B1241" i="3"/>
  <c r="U1240" i="3"/>
  <c r="K1240" i="3"/>
  <c r="E1240" i="3"/>
  <c r="B1240" i="3"/>
  <c r="U1239" i="3"/>
  <c r="K1239" i="3"/>
  <c r="E1239" i="3"/>
  <c r="B1239" i="3"/>
  <c r="U1238" i="3"/>
  <c r="K1238" i="3"/>
  <c r="E1238" i="3"/>
  <c r="B1238" i="3"/>
  <c r="U1237" i="3"/>
  <c r="K1237" i="3"/>
  <c r="E1237" i="3"/>
  <c r="B1237" i="3"/>
  <c r="U1236" i="3"/>
  <c r="K1236" i="3"/>
  <c r="E1236" i="3"/>
  <c r="B1236" i="3"/>
  <c r="U1235" i="3"/>
  <c r="K1235" i="3"/>
  <c r="E1235" i="3"/>
  <c r="B1235" i="3"/>
  <c r="U1234" i="3"/>
  <c r="K1234" i="3"/>
  <c r="E1234" i="3"/>
  <c r="B1234" i="3"/>
  <c r="U1233" i="3"/>
  <c r="K1233" i="3"/>
  <c r="E1233" i="3"/>
  <c r="B1233" i="3"/>
  <c r="U1232" i="3"/>
  <c r="K1232" i="3"/>
  <c r="E1232" i="3"/>
  <c r="B1232" i="3"/>
  <c r="U1231" i="3"/>
  <c r="K1231" i="3"/>
  <c r="E1231" i="3"/>
  <c r="B1231" i="3"/>
  <c r="U1230" i="3"/>
  <c r="K1230" i="3"/>
  <c r="E1230" i="3"/>
  <c r="B1230" i="3"/>
  <c r="U1229" i="3"/>
  <c r="K1229" i="3"/>
  <c r="E1229" i="3"/>
  <c r="B1229" i="3"/>
  <c r="U1228" i="3"/>
  <c r="K1228" i="3"/>
  <c r="E1228" i="3"/>
  <c r="B1228" i="3"/>
  <c r="U1227" i="3"/>
  <c r="K1227" i="3"/>
  <c r="E1227" i="3"/>
  <c r="B1227" i="3"/>
  <c r="U1226" i="3"/>
  <c r="K1226" i="3"/>
  <c r="E1226" i="3"/>
  <c r="B1226" i="3"/>
  <c r="U1225" i="3"/>
  <c r="K1225" i="3"/>
  <c r="E1225" i="3"/>
  <c r="B1225" i="3"/>
  <c r="U1224" i="3"/>
  <c r="K1224" i="3"/>
  <c r="E1224" i="3"/>
  <c r="B1224" i="3"/>
  <c r="U1223" i="3"/>
  <c r="K1223" i="3"/>
  <c r="E1223" i="3"/>
  <c r="B1223" i="3"/>
  <c r="U1222" i="3"/>
  <c r="K1222" i="3"/>
  <c r="E1222" i="3"/>
  <c r="B1222" i="3"/>
  <c r="U1221" i="3"/>
  <c r="K1221" i="3"/>
  <c r="E1221" i="3"/>
  <c r="B1221" i="3"/>
  <c r="U1220" i="3"/>
  <c r="K1220" i="3"/>
  <c r="E1220" i="3"/>
  <c r="B1220" i="3"/>
  <c r="U1219" i="3"/>
  <c r="K1219" i="3"/>
  <c r="E1219" i="3"/>
  <c r="B1219" i="3"/>
  <c r="U1218" i="3"/>
  <c r="K1218" i="3"/>
  <c r="E1218" i="3"/>
  <c r="B1218" i="3"/>
  <c r="U1217" i="3"/>
  <c r="K1217" i="3"/>
  <c r="E1217" i="3"/>
  <c r="B1217" i="3"/>
  <c r="U1216" i="3"/>
  <c r="K1216" i="3"/>
  <c r="E1216" i="3"/>
  <c r="B1216" i="3"/>
  <c r="U1215" i="3"/>
  <c r="K1215" i="3"/>
  <c r="E1215" i="3"/>
  <c r="B1215" i="3"/>
  <c r="U1214" i="3"/>
  <c r="K1214" i="3"/>
  <c r="E1214" i="3"/>
  <c r="B1214" i="3"/>
  <c r="U1213" i="3"/>
  <c r="K1213" i="3"/>
  <c r="E1213" i="3"/>
  <c r="B1213" i="3"/>
  <c r="U1212" i="3"/>
  <c r="K1212" i="3"/>
  <c r="E1212" i="3"/>
  <c r="B1212" i="3"/>
  <c r="U1211" i="3"/>
  <c r="K1211" i="3"/>
  <c r="E1211" i="3"/>
  <c r="B1211" i="3"/>
  <c r="U1210" i="3"/>
  <c r="K1210" i="3"/>
  <c r="E1210" i="3"/>
  <c r="B1210" i="3"/>
  <c r="U1209" i="3"/>
  <c r="K1209" i="3"/>
  <c r="E1209" i="3"/>
  <c r="B1209" i="3"/>
  <c r="U1208" i="3"/>
  <c r="K1208" i="3"/>
  <c r="E1208" i="3"/>
  <c r="B1208" i="3"/>
  <c r="U1207" i="3"/>
  <c r="K1207" i="3"/>
  <c r="E1207" i="3"/>
  <c r="B1207" i="3"/>
  <c r="U1206" i="3"/>
  <c r="K1206" i="3"/>
  <c r="E1206" i="3"/>
  <c r="B1206" i="3"/>
  <c r="U1205" i="3"/>
  <c r="K1205" i="3"/>
  <c r="E1205" i="3"/>
  <c r="B1205" i="3"/>
  <c r="U1204" i="3"/>
  <c r="K1204" i="3"/>
  <c r="E1204" i="3"/>
  <c r="B1204" i="3"/>
  <c r="U1203" i="3"/>
  <c r="K1203" i="3"/>
  <c r="E1203" i="3"/>
  <c r="B1203" i="3"/>
  <c r="U1202" i="3"/>
  <c r="K1202" i="3"/>
  <c r="E1202" i="3"/>
  <c r="B1202" i="3"/>
  <c r="U1201" i="3"/>
  <c r="K1201" i="3"/>
  <c r="E1201" i="3"/>
  <c r="B1201" i="3"/>
  <c r="U1200" i="3"/>
  <c r="K1200" i="3"/>
  <c r="E1200" i="3"/>
  <c r="B1200" i="3"/>
  <c r="U1199" i="3"/>
  <c r="K1199" i="3"/>
  <c r="E1199" i="3"/>
  <c r="B1199" i="3"/>
  <c r="U1198" i="3"/>
  <c r="K1198" i="3"/>
  <c r="E1198" i="3"/>
  <c r="B1198" i="3"/>
  <c r="U1197" i="3"/>
  <c r="K1197" i="3"/>
  <c r="E1197" i="3"/>
  <c r="B1197" i="3"/>
  <c r="U1196" i="3"/>
  <c r="K1196" i="3"/>
  <c r="E1196" i="3"/>
  <c r="B1196" i="3"/>
  <c r="U1195" i="3"/>
  <c r="K1195" i="3"/>
  <c r="E1195" i="3"/>
  <c r="B1195" i="3"/>
  <c r="U1194" i="3"/>
  <c r="K1194" i="3"/>
  <c r="E1194" i="3"/>
  <c r="B1194" i="3"/>
  <c r="U1193" i="3"/>
  <c r="K1193" i="3"/>
  <c r="E1193" i="3"/>
  <c r="B1193" i="3"/>
  <c r="U1192" i="3"/>
  <c r="K1192" i="3"/>
  <c r="E1192" i="3"/>
  <c r="B1192" i="3"/>
  <c r="U1191" i="3"/>
  <c r="K1191" i="3"/>
  <c r="E1191" i="3"/>
  <c r="B1191" i="3"/>
  <c r="U1190" i="3"/>
  <c r="K1190" i="3"/>
  <c r="E1190" i="3"/>
  <c r="B1190" i="3"/>
  <c r="U1189" i="3"/>
  <c r="K1189" i="3"/>
  <c r="E1189" i="3"/>
  <c r="B1189" i="3"/>
  <c r="U1188" i="3"/>
  <c r="K1188" i="3"/>
  <c r="E1188" i="3"/>
  <c r="B1188" i="3"/>
  <c r="U1187" i="3"/>
  <c r="K1187" i="3"/>
  <c r="E1187" i="3"/>
  <c r="B1187" i="3"/>
  <c r="U1186" i="3"/>
  <c r="K1186" i="3"/>
  <c r="E1186" i="3"/>
  <c r="B1186" i="3"/>
  <c r="U1185" i="3"/>
  <c r="K1185" i="3"/>
  <c r="E1185" i="3"/>
  <c r="B1185" i="3"/>
  <c r="U1184" i="3"/>
  <c r="K1184" i="3"/>
  <c r="E1184" i="3"/>
  <c r="B1184" i="3"/>
  <c r="U1183" i="3"/>
  <c r="K1183" i="3"/>
  <c r="E1183" i="3"/>
  <c r="B1183" i="3"/>
  <c r="U1182" i="3"/>
  <c r="K1182" i="3"/>
  <c r="E1182" i="3"/>
  <c r="B1182" i="3"/>
  <c r="U1181" i="3"/>
  <c r="K1181" i="3"/>
  <c r="E1181" i="3"/>
  <c r="B1181" i="3"/>
  <c r="U1180" i="3"/>
  <c r="K1180" i="3"/>
  <c r="E1180" i="3"/>
  <c r="B1180" i="3"/>
  <c r="U1179" i="3"/>
  <c r="K1179" i="3"/>
  <c r="E1179" i="3"/>
  <c r="B1179" i="3"/>
  <c r="U1178" i="3"/>
  <c r="K1178" i="3"/>
  <c r="E1178" i="3"/>
  <c r="B1178" i="3"/>
  <c r="U1177" i="3"/>
  <c r="K1177" i="3"/>
  <c r="E1177" i="3"/>
  <c r="B1177" i="3"/>
  <c r="U1176" i="3"/>
  <c r="K1176" i="3"/>
  <c r="E1176" i="3"/>
  <c r="B1176" i="3"/>
  <c r="U1175" i="3"/>
  <c r="K1175" i="3"/>
  <c r="E1175" i="3"/>
  <c r="B1175" i="3"/>
  <c r="U1174" i="3"/>
  <c r="K1174" i="3"/>
  <c r="E1174" i="3"/>
  <c r="B1174" i="3"/>
  <c r="U1173" i="3"/>
  <c r="K1173" i="3"/>
  <c r="E1173" i="3"/>
  <c r="B1173" i="3"/>
  <c r="U1172" i="3"/>
  <c r="K1172" i="3"/>
  <c r="E1172" i="3"/>
  <c r="B1172" i="3"/>
  <c r="U1171" i="3"/>
  <c r="K1171" i="3"/>
  <c r="E1171" i="3"/>
  <c r="B1171" i="3"/>
  <c r="U1170" i="3"/>
  <c r="K1170" i="3"/>
  <c r="E1170" i="3"/>
  <c r="B1170" i="3"/>
  <c r="U1169" i="3"/>
  <c r="K1169" i="3"/>
  <c r="E1169" i="3"/>
  <c r="B1169" i="3"/>
  <c r="U1168" i="3"/>
  <c r="K1168" i="3"/>
  <c r="E1168" i="3"/>
  <c r="B1168" i="3"/>
  <c r="U1167" i="3"/>
  <c r="K1167" i="3"/>
  <c r="E1167" i="3"/>
  <c r="B1167" i="3"/>
  <c r="U1166" i="3"/>
  <c r="K1166" i="3"/>
  <c r="E1166" i="3"/>
  <c r="B1166" i="3"/>
  <c r="U1165" i="3"/>
  <c r="K1165" i="3"/>
  <c r="E1165" i="3"/>
  <c r="B1165" i="3"/>
  <c r="U1164" i="3"/>
  <c r="K1164" i="3"/>
  <c r="E1164" i="3"/>
  <c r="B1164" i="3"/>
  <c r="U1163" i="3"/>
  <c r="K1163" i="3"/>
  <c r="E1163" i="3"/>
  <c r="B1163" i="3"/>
  <c r="U1162" i="3"/>
  <c r="K1162" i="3"/>
  <c r="E1162" i="3"/>
  <c r="B1162" i="3"/>
  <c r="U1161" i="3"/>
  <c r="K1161" i="3"/>
  <c r="E1161" i="3"/>
  <c r="B1161" i="3"/>
  <c r="U1160" i="3"/>
  <c r="K1160" i="3"/>
  <c r="E1160" i="3"/>
  <c r="B1160" i="3"/>
  <c r="U1159" i="3"/>
  <c r="K1159" i="3"/>
  <c r="E1159" i="3"/>
  <c r="B1159" i="3"/>
  <c r="U1158" i="3"/>
  <c r="K1158" i="3"/>
  <c r="E1158" i="3"/>
  <c r="B1158" i="3"/>
  <c r="U1157" i="3"/>
  <c r="K1157" i="3"/>
  <c r="E1157" i="3"/>
  <c r="B1157" i="3"/>
  <c r="U1156" i="3"/>
  <c r="K1156" i="3"/>
  <c r="E1156" i="3"/>
  <c r="B1156" i="3"/>
  <c r="U1155" i="3"/>
  <c r="K1155" i="3"/>
  <c r="E1155" i="3"/>
  <c r="B1155" i="3"/>
  <c r="U1154" i="3"/>
  <c r="K1154" i="3"/>
  <c r="E1154" i="3"/>
  <c r="B1154" i="3"/>
  <c r="U1153" i="3"/>
  <c r="K1153" i="3"/>
  <c r="E1153" i="3"/>
  <c r="B1153" i="3"/>
  <c r="U1152" i="3"/>
  <c r="K1152" i="3"/>
  <c r="E1152" i="3"/>
  <c r="B1152" i="3"/>
  <c r="U1151" i="3"/>
  <c r="K1151" i="3"/>
  <c r="E1151" i="3"/>
  <c r="B1151" i="3"/>
  <c r="U1150" i="3"/>
  <c r="K1150" i="3"/>
  <c r="E1150" i="3"/>
  <c r="B1150" i="3"/>
  <c r="U1149" i="3"/>
  <c r="K1149" i="3"/>
  <c r="E1149" i="3"/>
  <c r="B1149" i="3"/>
  <c r="U1148" i="3"/>
  <c r="K1148" i="3"/>
  <c r="E1148" i="3"/>
  <c r="B1148" i="3"/>
  <c r="U1147" i="3"/>
  <c r="K1147" i="3"/>
  <c r="E1147" i="3"/>
  <c r="B1147" i="3"/>
  <c r="U1146" i="3"/>
  <c r="K1146" i="3"/>
  <c r="E1146" i="3"/>
  <c r="B1146" i="3"/>
  <c r="U1145" i="3"/>
  <c r="K1145" i="3"/>
  <c r="E1145" i="3"/>
  <c r="B1145" i="3"/>
  <c r="U1144" i="3"/>
  <c r="K1144" i="3"/>
  <c r="E1144" i="3"/>
  <c r="B1144" i="3"/>
  <c r="U1143" i="3"/>
  <c r="K1143" i="3"/>
  <c r="E1143" i="3"/>
  <c r="B1143" i="3"/>
  <c r="U1142" i="3"/>
  <c r="K1142" i="3"/>
  <c r="E1142" i="3"/>
  <c r="B1142" i="3"/>
  <c r="U1141" i="3"/>
  <c r="K1141" i="3"/>
  <c r="E1141" i="3"/>
  <c r="B1141" i="3"/>
  <c r="U1140" i="3"/>
  <c r="K1140" i="3"/>
  <c r="E1140" i="3"/>
  <c r="B1140" i="3"/>
  <c r="U1139" i="3"/>
  <c r="K1139" i="3"/>
  <c r="E1139" i="3"/>
  <c r="B1139" i="3"/>
  <c r="U1138" i="3"/>
  <c r="K1138" i="3"/>
  <c r="E1138" i="3"/>
  <c r="B1138" i="3"/>
  <c r="U1137" i="3"/>
  <c r="K1137" i="3"/>
  <c r="E1137" i="3"/>
  <c r="B1137" i="3"/>
  <c r="U1136" i="3"/>
  <c r="K1136" i="3"/>
  <c r="E1136" i="3"/>
  <c r="B1136" i="3"/>
  <c r="U1135" i="3"/>
  <c r="K1135" i="3"/>
  <c r="E1135" i="3"/>
  <c r="B1135" i="3"/>
  <c r="U1134" i="3"/>
  <c r="K1134" i="3"/>
  <c r="E1134" i="3"/>
  <c r="B1134" i="3"/>
  <c r="U1133" i="3"/>
  <c r="K1133" i="3"/>
  <c r="E1133" i="3"/>
  <c r="B1133" i="3"/>
  <c r="U1132" i="3"/>
  <c r="K1132" i="3"/>
  <c r="E1132" i="3"/>
  <c r="B1132" i="3"/>
  <c r="U1131" i="3"/>
  <c r="K1131" i="3"/>
  <c r="E1131" i="3"/>
  <c r="B1131" i="3"/>
  <c r="U1130" i="3"/>
  <c r="K1130" i="3"/>
  <c r="E1130" i="3"/>
  <c r="B1130" i="3"/>
  <c r="U1129" i="3"/>
  <c r="K1129" i="3"/>
  <c r="E1129" i="3"/>
  <c r="B1129" i="3"/>
  <c r="U1128" i="3"/>
  <c r="K1128" i="3"/>
  <c r="E1128" i="3"/>
  <c r="B1128" i="3"/>
  <c r="U1127" i="3"/>
  <c r="K1127" i="3"/>
  <c r="E1127" i="3"/>
  <c r="B1127" i="3"/>
  <c r="U1126" i="3"/>
  <c r="K1126" i="3"/>
  <c r="E1126" i="3"/>
  <c r="B1126" i="3"/>
  <c r="U1125" i="3"/>
  <c r="K1125" i="3"/>
  <c r="E1125" i="3"/>
  <c r="B1125" i="3"/>
  <c r="U1124" i="3"/>
  <c r="K1124" i="3"/>
  <c r="E1124" i="3"/>
  <c r="B1124" i="3"/>
  <c r="U1123" i="3"/>
  <c r="K1123" i="3"/>
  <c r="E1123" i="3"/>
  <c r="B1123" i="3"/>
  <c r="U1122" i="3"/>
  <c r="K1122" i="3"/>
  <c r="E1122" i="3"/>
  <c r="B1122" i="3"/>
  <c r="U1121" i="3"/>
  <c r="K1121" i="3"/>
  <c r="E1121" i="3"/>
  <c r="B1121" i="3"/>
  <c r="U1120" i="3"/>
  <c r="K1120" i="3"/>
  <c r="E1120" i="3"/>
  <c r="B1120" i="3"/>
  <c r="U1119" i="3"/>
  <c r="K1119" i="3"/>
  <c r="E1119" i="3"/>
  <c r="B1119" i="3"/>
  <c r="U1118" i="3"/>
  <c r="K1118" i="3"/>
  <c r="E1118" i="3"/>
  <c r="B1118" i="3"/>
  <c r="U1117" i="3"/>
  <c r="K1117" i="3"/>
  <c r="E1117" i="3"/>
  <c r="B1117" i="3"/>
  <c r="U1116" i="3"/>
  <c r="K1116" i="3"/>
  <c r="E1116" i="3"/>
  <c r="B1116" i="3"/>
  <c r="U1115" i="3"/>
  <c r="K1115" i="3"/>
  <c r="E1115" i="3"/>
  <c r="B1115" i="3"/>
  <c r="U1114" i="3"/>
  <c r="K1114" i="3"/>
  <c r="E1114" i="3"/>
  <c r="B1114" i="3"/>
  <c r="U1113" i="3"/>
  <c r="K1113" i="3"/>
  <c r="E1113" i="3"/>
  <c r="B1113" i="3"/>
  <c r="U1112" i="3"/>
  <c r="K1112" i="3"/>
  <c r="E1112" i="3"/>
  <c r="B1112" i="3"/>
  <c r="U1111" i="3"/>
  <c r="K1111" i="3"/>
  <c r="E1111" i="3"/>
  <c r="B1111" i="3"/>
  <c r="U1110" i="3"/>
  <c r="K1110" i="3"/>
  <c r="E1110" i="3"/>
  <c r="B1110" i="3"/>
  <c r="U1109" i="3"/>
  <c r="K1109" i="3"/>
  <c r="E1109" i="3"/>
  <c r="B1109" i="3"/>
  <c r="U1108" i="3"/>
  <c r="K1108" i="3"/>
  <c r="E1108" i="3"/>
  <c r="B1108" i="3"/>
  <c r="U1107" i="3"/>
  <c r="K1107" i="3"/>
  <c r="E1107" i="3"/>
  <c r="B1107" i="3"/>
  <c r="U1106" i="3"/>
  <c r="K1106" i="3"/>
  <c r="E1106" i="3"/>
  <c r="B1106" i="3"/>
  <c r="U1105" i="3"/>
  <c r="K1105" i="3"/>
  <c r="E1105" i="3"/>
  <c r="B1105" i="3"/>
  <c r="U1104" i="3"/>
  <c r="K1104" i="3"/>
  <c r="E1104" i="3"/>
  <c r="B1104" i="3"/>
  <c r="U1103" i="3"/>
  <c r="K1103" i="3"/>
  <c r="E1103" i="3"/>
  <c r="B1103" i="3"/>
  <c r="U1102" i="3"/>
  <c r="K1102" i="3"/>
  <c r="E1102" i="3"/>
  <c r="B1102" i="3"/>
  <c r="U1101" i="3"/>
  <c r="K1101" i="3"/>
  <c r="E1101" i="3"/>
  <c r="B1101" i="3"/>
  <c r="U1100" i="3"/>
  <c r="K1100" i="3"/>
  <c r="E1100" i="3"/>
  <c r="B1100" i="3"/>
  <c r="U1099" i="3"/>
  <c r="K1099" i="3"/>
  <c r="E1099" i="3"/>
  <c r="B1099" i="3"/>
  <c r="U1098" i="3"/>
  <c r="K1098" i="3"/>
  <c r="E1098" i="3"/>
  <c r="B1098" i="3"/>
  <c r="U1097" i="3"/>
  <c r="K1097" i="3"/>
  <c r="E1097" i="3"/>
  <c r="B1097" i="3"/>
  <c r="K1096" i="3"/>
  <c r="E1096" i="3"/>
  <c r="B1096" i="3"/>
  <c r="U1095" i="3"/>
  <c r="K1095" i="3"/>
  <c r="E1095" i="3"/>
  <c r="B1095" i="3"/>
  <c r="U1094" i="3"/>
  <c r="K1094" i="3"/>
  <c r="E1094" i="3"/>
  <c r="B1094" i="3"/>
  <c r="U1093" i="3"/>
  <c r="K1093" i="3"/>
  <c r="E1093" i="3"/>
  <c r="B1093" i="3"/>
  <c r="U1092" i="3"/>
  <c r="K1092" i="3"/>
  <c r="E1092" i="3"/>
  <c r="B1092" i="3"/>
  <c r="U1091" i="3"/>
  <c r="K1091" i="3"/>
  <c r="E1091" i="3"/>
  <c r="B1091" i="3"/>
  <c r="U1090" i="3"/>
  <c r="K1090" i="3"/>
  <c r="E1090" i="3"/>
  <c r="B1090" i="3"/>
  <c r="U1089" i="3"/>
  <c r="K1089" i="3"/>
  <c r="E1089" i="3"/>
  <c r="B1089" i="3"/>
  <c r="U1088" i="3"/>
  <c r="K1088" i="3"/>
  <c r="E1088" i="3"/>
  <c r="B1088" i="3"/>
  <c r="U1087" i="3"/>
  <c r="K1087" i="3"/>
  <c r="E1087" i="3"/>
  <c r="B1087" i="3"/>
  <c r="U1086" i="3"/>
  <c r="K1086" i="3"/>
  <c r="E1086" i="3"/>
  <c r="B1086" i="3"/>
  <c r="U1085" i="3"/>
  <c r="K1085" i="3"/>
  <c r="E1085" i="3"/>
  <c r="B1085" i="3"/>
  <c r="U1084" i="3"/>
  <c r="K1084" i="3"/>
  <c r="E1084" i="3"/>
  <c r="B1084" i="3"/>
  <c r="U1083" i="3"/>
  <c r="K1083" i="3"/>
  <c r="E1083" i="3"/>
  <c r="B1083" i="3"/>
  <c r="U1082" i="3"/>
  <c r="K1082" i="3"/>
  <c r="E1082" i="3"/>
  <c r="B1082" i="3"/>
  <c r="U1081" i="3"/>
  <c r="K1081" i="3"/>
  <c r="E1081" i="3"/>
  <c r="B1081" i="3"/>
  <c r="U1080" i="3"/>
  <c r="K1080" i="3"/>
  <c r="E1080" i="3"/>
  <c r="B1080" i="3"/>
  <c r="U1079" i="3"/>
  <c r="K1079" i="3"/>
  <c r="E1079" i="3"/>
  <c r="B1079" i="3"/>
  <c r="U1078" i="3"/>
  <c r="K1078" i="3"/>
  <c r="E1078" i="3"/>
  <c r="B1078" i="3"/>
  <c r="U1077" i="3"/>
  <c r="K1077" i="3"/>
  <c r="E1077" i="3"/>
  <c r="B1077" i="3"/>
  <c r="U1076" i="3"/>
  <c r="K1076" i="3"/>
  <c r="E1076" i="3"/>
  <c r="B1076" i="3"/>
  <c r="U1075" i="3"/>
  <c r="K1075" i="3"/>
  <c r="E1075" i="3"/>
  <c r="B1075" i="3"/>
  <c r="U1074" i="3"/>
  <c r="K1074" i="3"/>
  <c r="E1074" i="3"/>
  <c r="B1074" i="3"/>
  <c r="U1073" i="3"/>
  <c r="K1073" i="3"/>
  <c r="E1073" i="3"/>
  <c r="B1073" i="3"/>
  <c r="U1072" i="3"/>
  <c r="K1072" i="3"/>
  <c r="E1072" i="3"/>
  <c r="B1072" i="3"/>
  <c r="U1071" i="3"/>
  <c r="K1071" i="3"/>
  <c r="E1071" i="3"/>
  <c r="B1071" i="3"/>
  <c r="U1070" i="3"/>
  <c r="K1070" i="3"/>
  <c r="E1070" i="3"/>
  <c r="B1070" i="3"/>
  <c r="U1069" i="3"/>
  <c r="K1069" i="3"/>
  <c r="E1069" i="3"/>
  <c r="B1069" i="3"/>
  <c r="U1068" i="3"/>
  <c r="K1068" i="3"/>
  <c r="E1068" i="3"/>
  <c r="B1068" i="3"/>
  <c r="U1067" i="3"/>
  <c r="K1067" i="3"/>
  <c r="E1067" i="3"/>
  <c r="B1067" i="3"/>
  <c r="U1066" i="3"/>
  <c r="K1066" i="3"/>
  <c r="E1066" i="3"/>
  <c r="B1066" i="3"/>
  <c r="U1065" i="3"/>
  <c r="K1065" i="3"/>
  <c r="E1065" i="3"/>
  <c r="B1065" i="3"/>
  <c r="U1064" i="3"/>
  <c r="K1064" i="3"/>
  <c r="E1064" i="3"/>
  <c r="B1064" i="3"/>
  <c r="U1063" i="3"/>
  <c r="K1063" i="3"/>
  <c r="E1063" i="3"/>
  <c r="B1063" i="3"/>
  <c r="U1062" i="3"/>
  <c r="K1062" i="3"/>
  <c r="E1062" i="3"/>
  <c r="B1062" i="3"/>
  <c r="U1061" i="3"/>
  <c r="K1061" i="3"/>
  <c r="E1061" i="3"/>
  <c r="B1061" i="3"/>
  <c r="U1060" i="3"/>
  <c r="K1060" i="3"/>
  <c r="E1060" i="3"/>
  <c r="B1060" i="3"/>
  <c r="U1059" i="3"/>
  <c r="K1059" i="3"/>
  <c r="E1059" i="3"/>
  <c r="B1059" i="3"/>
  <c r="U1058" i="3"/>
  <c r="K1058" i="3"/>
  <c r="E1058" i="3"/>
  <c r="B1058" i="3"/>
  <c r="U1057" i="3"/>
  <c r="K1057" i="3"/>
  <c r="E1057" i="3"/>
  <c r="B1057" i="3"/>
  <c r="U1056" i="3"/>
  <c r="K1056" i="3"/>
  <c r="E1056" i="3"/>
  <c r="B1056" i="3"/>
  <c r="U1055" i="3"/>
  <c r="K1055" i="3"/>
  <c r="E1055" i="3"/>
  <c r="B1055" i="3"/>
  <c r="U1054" i="3"/>
  <c r="K1054" i="3"/>
  <c r="E1054" i="3"/>
  <c r="B1054" i="3"/>
  <c r="U1053" i="3"/>
  <c r="K1053" i="3"/>
  <c r="E1053" i="3"/>
  <c r="B1053" i="3"/>
  <c r="U1052" i="3"/>
  <c r="K1052" i="3"/>
  <c r="E1052" i="3"/>
  <c r="B1052" i="3"/>
  <c r="U1051" i="3"/>
  <c r="K1051" i="3"/>
  <c r="E1051" i="3"/>
  <c r="B1051" i="3"/>
  <c r="U1050" i="3"/>
  <c r="K1050" i="3"/>
  <c r="E1050" i="3"/>
  <c r="B1050" i="3"/>
  <c r="U1049" i="3"/>
  <c r="K1049" i="3"/>
  <c r="E1049" i="3"/>
  <c r="B1049" i="3"/>
  <c r="K1048" i="3"/>
  <c r="E1048" i="3"/>
  <c r="B1048" i="3"/>
  <c r="U1047" i="3"/>
  <c r="K1047" i="3"/>
  <c r="E1047" i="3"/>
  <c r="B1047" i="3"/>
  <c r="U1046" i="3"/>
  <c r="K1046" i="3"/>
  <c r="E1046" i="3"/>
  <c r="B1046" i="3"/>
  <c r="U1045" i="3"/>
  <c r="K1045" i="3"/>
  <c r="E1045" i="3"/>
  <c r="B1045" i="3"/>
  <c r="U1044" i="3"/>
  <c r="K1044" i="3"/>
  <c r="E1044" i="3"/>
  <c r="B1044" i="3"/>
  <c r="U1043" i="3"/>
  <c r="K1043" i="3"/>
  <c r="E1043" i="3"/>
  <c r="B1043" i="3"/>
  <c r="U1042" i="3"/>
  <c r="K1042" i="3"/>
  <c r="E1042" i="3"/>
  <c r="B1042" i="3"/>
  <c r="U1041" i="3"/>
  <c r="K1041" i="3"/>
  <c r="E1041" i="3"/>
  <c r="B1041" i="3"/>
  <c r="U1040" i="3"/>
  <c r="K1040" i="3"/>
  <c r="E1040" i="3"/>
  <c r="B1040" i="3"/>
  <c r="U1039" i="3"/>
  <c r="K1039" i="3"/>
  <c r="E1039" i="3"/>
  <c r="B1039" i="3"/>
  <c r="U1038" i="3"/>
  <c r="K1038" i="3"/>
  <c r="E1038" i="3"/>
  <c r="B1038" i="3"/>
  <c r="U1037" i="3"/>
  <c r="K1037" i="3"/>
  <c r="E1037" i="3"/>
  <c r="B1037" i="3"/>
  <c r="U1036" i="3"/>
  <c r="K1036" i="3"/>
  <c r="E1036" i="3"/>
  <c r="B1036" i="3"/>
  <c r="U1035" i="3"/>
  <c r="K1035" i="3"/>
  <c r="E1035" i="3"/>
  <c r="B1035" i="3"/>
  <c r="U1034" i="3"/>
  <c r="K1034" i="3"/>
  <c r="E1034" i="3"/>
  <c r="B1034" i="3"/>
  <c r="U1033" i="3"/>
  <c r="K1033" i="3"/>
  <c r="E1033" i="3"/>
  <c r="B1033" i="3"/>
  <c r="U1032" i="3"/>
  <c r="K1032" i="3"/>
  <c r="E1032" i="3"/>
  <c r="B1032" i="3"/>
  <c r="U1031" i="3"/>
  <c r="K1031" i="3"/>
  <c r="E1031" i="3"/>
  <c r="B1031" i="3"/>
  <c r="U1030" i="3"/>
  <c r="K1030" i="3"/>
  <c r="E1030" i="3"/>
  <c r="B1030" i="3"/>
  <c r="U1029" i="3"/>
  <c r="K1029" i="3"/>
  <c r="E1029" i="3"/>
  <c r="B1029" i="3"/>
  <c r="U1028" i="3"/>
  <c r="K1028" i="3"/>
  <c r="E1028" i="3"/>
  <c r="B1028" i="3"/>
  <c r="U1027" i="3"/>
  <c r="K1027" i="3"/>
  <c r="E1027" i="3"/>
  <c r="B1027" i="3"/>
  <c r="U1026" i="3"/>
  <c r="K1026" i="3"/>
  <c r="E1026" i="3"/>
  <c r="B1026" i="3"/>
  <c r="U1025" i="3"/>
  <c r="K1025" i="3"/>
  <c r="E1025" i="3"/>
  <c r="B1025" i="3"/>
  <c r="U1024" i="3"/>
  <c r="K1024" i="3"/>
  <c r="E1024" i="3"/>
  <c r="B1024" i="3"/>
  <c r="U1023" i="3"/>
  <c r="K1023" i="3"/>
  <c r="E1023" i="3"/>
  <c r="B1023" i="3"/>
  <c r="U1022" i="3"/>
  <c r="K1022" i="3"/>
  <c r="E1022" i="3"/>
  <c r="B1022" i="3"/>
  <c r="U1021" i="3"/>
  <c r="K1021" i="3"/>
  <c r="E1021" i="3"/>
  <c r="B1021" i="3"/>
  <c r="K1020" i="3"/>
  <c r="E1020" i="3"/>
  <c r="B1020" i="3"/>
  <c r="U1019" i="3"/>
  <c r="K1019" i="3"/>
  <c r="E1019" i="3"/>
  <c r="B1019" i="3"/>
  <c r="K1018" i="3"/>
  <c r="E1018" i="3"/>
  <c r="B1018" i="3"/>
  <c r="U1017" i="3"/>
  <c r="K1017" i="3"/>
  <c r="E1017" i="3"/>
  <c r="B1017" i="3"/>
  <c r="U1016" i="3"/>
  <c r="K1016" i="3"/>
  <c r="E1016" i="3"/>
  <c r="B1016" i="3"/>
  <c r="U1015" i="3"/>
  <c r="K1015" i="3"/>
  <c r="E1015" i="3"/>
  <c r="B1015" i="3"/>
  <c r="U1014" i="3"/>
  <c r="K1014" i="3"/>
  <c r="E1014" i="3"/>
  <c r="B1014" i="3"/>
  <c r="U1013" i="3"/>
  <c r="K1013" i="3"/>
  <c r="E1013" i="3"/>
  <c r="B1013" i="3"/>
  <c r="U1012" i="3"/>
  <c r="K1012" i="3"/>
  <c r="E1012" i="3"/>
  <c r="B1012" i="3"/>
  <c r="U1011" i="3"/>
  <c r="K1011" i="3"/>
  <c r="E1011" i="3"/>
  <c r="B1011" i="3"/>
  <c r="U1010" i="3"/>
  <c r="K1010" i="3"/>
  <c r="E1010" i="3"/>
  <c r="B1010" i="3"/>
  <c r="U1009" i="3"/>
  <c r="K1009" i="3"/>
  <c r="E1009" i="3"/>
  <c r="B1009" i="3"/>
  <c r="U1008" i="3"/>
  <c r="K1008" i="3"/>
  <c r="E1008" i="3"/>
  <c r="B1008" i="3"/>
  <c r="U1007" i="3"/>
  <c r="K1007" i="3"/>
  <c r="E1007" i="3"/>
  <c r="B1007" i="3"/>
  <c r="U1006" i="3"/>
  <c r="K1006" i="3"/>
  <c r="E1006" i="3"/>
  <c r="B1006" i="3"/>
  <c r="U1005" i="3"/>
  <c r="K1005" i="3"/>
  <c r="E1005" i="3"/>
  <c r="B1005" i="3"/>
  <c r="U1004" i="3"/>
  <c r="K1004" i="3"/>
  <c r="E1004" i="3"/>
  <c r="B1004" i="3"/>
  <c r="U1003" i="3"/>
  <c r="K1003" i="3"/>
  <c r="E1003" i="3"/>
  <c r="B1003" i="3"/>
  <c r="U1002" i="3"/>
  <c r="K1002" i="3"/>
  <c r="E1002" i="3"/>
  <c r="B1002" i="3"/>
  <c r="U1001" i="3"/>
  <c r="K1001" i="3"/>
  <c r="E1001" i="3"/>
  <c r="B1001" i="3"/>
  <c r="U1000" i="3"/>
  <c r="K1000" i="3"/>
  <c r="E1000" i="3"/>
  <c r="B1000" i="3"/>
  <c r="U999" i="3"/>
  <c r="K999" i="3"/>
  <c r="E999" i="3"/>
  <c r="B999" i="3"/>
  <c r="U998" i="3"/>
  <c r="K998" i="3"/>
  <c r="E998" i="3"/>
  <c r="B998" i="3"/>
  <c r="U997" i="3"/>
  <c r="K997" i="3"/>
  <c r="E997" i="3"/>
  <c r="B997" i="3"/>
  <c r="U996" i="3"/>
  <c r="K996" i="3"/>
  <c r="E996" i="3"/>
  <c r="B996" i="3"/>
  <c r="U995" i="3"/>
  <c r="K995" i="3"/>
  <c r="E995" i="3"/>
  <c r="B995" i="3"/>
  <c r="U994" i="3"/>
  <c r="K994" i="3"/>
  <c r="E994" i="3"/>
  <c r="B994" i="3"/>
  <c r="U993" i="3"/>
  <c r="K993" i="3"/>
  <c r="E993" i="3"/>
  <c r="B993" i="3"/>
  <c r="U992" i="3"/>
  <c r="K992" i="3"/>
  <c r="E992" i="3"/>
  <c r="B992" i="3"/>
  <c r="U991" i="3"/>
  <c r="K991" i="3"/>
  <c r="E991" i="3"/>
  <c r="B991" i="3"/>
  <c r="U990" i="3"/>
  <c r="K990" i="3"/>
  <c r="E990" i="3"/>
  <c r="B990" i="3"/>
  <c r="U989" i="3"/>
  <c r="K989" i="3"/>
  <c r="E989" i="3"/>
  <c r="B989" i="3"/>
  <c r="U988" i="3"/>
  <c r="K988" i="3"/>
  <c r="E988" i="3"/>
  <c r="B988" i="3"/>
  <c r="U987" i="3"/>
  <c r="K987" i="3"/>
  <c r="E987" i="3"/>
  <c r="B987" i="3"/>
  <c r="U986" i="3"/>
  <c r="K986" i="3"/>
  <c r="E986" i="3"/>
  <c r="B986" i="3"/>
  <c r="U985" i="3"/>
  <c r="K985" i="3"/>
  <c r="E985" i="3"/>
  <c r="B985" i="3"/>
  <c r="U984" i="3"/>
  <c r="K984" i="3"/>
  <c r="E984" i="3"/>
  <c r="B984" i="3"/>
  <c r="U983" i="3"/>
  <c r="K983" i="3"/>
  <c r="E983" i="3"/>
  <c r="B983" i="3"/>
  <c r="K982" i="3"/>
  <c r="E982" i="3"/>
  <c r="B982" i="3"/>
  <c r="U981" i="3"/>
  <c r="K981" i="3"/>
  <c r="E981" i="3"/>
  <c r="B981" i="3"/>
  <c r="U980" i="3"/>
  <c r="K980" i="3"/>
  <c r="E980" i="3"/>
  <c r="B980" i="3"/>
  <c r="U979" i="3"/>
  <c r="K979" i="3"/>
  <c r="E979" i="3"/>
  <c r="B979" i="3"/>
  <c r="U978" i="3"/>
  <c r="K978" i="3"/>
  <c r="E978" i="3"/>
  <c r="B978" i="3"/>
  <c r="U977" i="3"/>
  <c r="K977" i="3"/>
  <c r="E977" i="3"/>
  <c r="B977" i="3"/>
  <c r="U976" i="3"/>
  <c r="K976" i="3"/>
  <c r="E976" i="3"/>
  <c r="B976" i="3"/>
  <c r="U975" i="3"/>
  <c r="K975" i="3"/>
  <c r="E975" i="3"/>
  <c r="B975" i="3"/>
  <c r="U974" i="3"/>
  <c r="K974" i="3"/>
  <c r="E974" i="3"/>
  <c r="B974" i="3"/>
  <c r="U973" i="3"/>
  <c r="K973" i="3"/>
  <c r="E973" i="3"/>
  <c r="B973" i="3"/>
  <c r="U972" i="3"/>
  <c r="K972" i="3"/>
  <c r="E972" i="3"/>
  <c r="B972" i="3"/>
  <c r="U971" i="3"/>
  <c r="K971" i="3"/>
  <c r="E971" i="3"/>
  <c r="B971" i="3"/>
  <c r="U970" i="3"/>
  <c r="K970" i="3"/>
  <c r="E970" i="3"/>
  <c r="B970" i="3"/>
  <c r="U969" i="3"/>
  <c r="K969" i="3"/>
  <c r="E969" i="3"/>
  <c r="B969" i="3"/>
  <c r="U968" i="3"/>
  <c r="K968" i="3"/>
  <c r="E968" i="3"/>
  <c r="B968" i="3"/>
  <c r="U967" i="3"/>
  <c r="K967" i="3"/>
  <c r="E967" i="3"/>
  <c r="B967" i="3"/>
  <c r="U966" i="3"/>
  <c r="K966" i="3"/>
  <c r="E966" i="3"/>
  <c r="B966" i="3"/>
  <c r="U965" i="3"/>
  <c r="K965" i="3"/>
  <c r="E965" i="3"/>
  <c r="B965" i="3"/>
  <c r="U964" i="3"/>
  <c r="K964" i="3"/>
  <c r="E964" i="3"/>
  <c r="B964" i="3"/>
  <c r="U963" i="3"/>
  <c r="K963" i="3"/>
  <c r="E963" i="3"/>
  <c r="B963" i="3"/>
  <c r="U962" i="3"/>
  <c r="K962" i="3"/>
  <c r="E962" i="3"/>
  <c r="B962" i="3"/>
  <c r="U961" i="3"/>
  <c r="K961" i="3"/>
  <c r="E961" i="3"/>
  <c r="B961" i="3"/>
  <c r="U960" i="3"/>
  <c r="K960" i="3"/>
  <c r="E960" i="3"/>
  <c r="B960" i="3"/>
  <c r="U959" i="3"/>
  <c r="K959" i="3"/>
  <c r="E959" i="3"/>
  <c r="B959" i="3"/>
  <c r="U958" i="3"/>
  <c r="K958" i="3"/>
  <c r="E958" i="3"/>
  <c r="B958" i="3"/>
  <c r="U957" i="3"/>
  <c r="K957" i="3"/>
  <c r="E957" i="3"/>
  <c r="B957" i="3"/>
  <c r="U956" i="3"/>
  <c r="K956" i="3"/>
  <c r="E956" i="3"/>
  <c r="B956" i="3"/>
  <c r="U955" i="3"/>
  <c r="K955" i="3"/>
  <c r="E955" i="3"/>
  <c r="B955" i="3"/>
  <c r="U954" i="3"/>
  <c r="K954" i="3"/>
  <c r="E954" i="3"/>
  <c r="B954" i="3"/>
  <c r="U953" i="3"/>
  <c r="K953" i="3"/>
  <c r="E953" i="3"/>
  <c r="B953" i="3"/>
  <c r="U952" i="3"/>
  <c r="K952" i="3"/>
  <c r="E952" i="3"/>
  <c r="B952" i="3"/>
  <c r="U951" i="3"/>
  <c r="K951" i="3"/>
  <c r="E951" i="3"/>
  <c r="B951" i="3"/>
  <c r="U950" i="3"/>
  <c r="K950" i="3"/>
  <c r="E950" i="3"/>
  <c r="B950" i="3"/>
  <c r="U949" i="3"/>
  <c r="K949" i="3"/>
  <c r="E949" i="3"/>
  <c r="B949" i="3"/>
  <c r="U948" i="3"/>
  <c r="K948" i="3"/>
  <c r="E948" i="3"/>
  <c r="B948" i="3"/>
  <c r="U947" i="3"/>
  <c r="K947" i="3"/>
  <c r="E947" i="3"/>
  <c r="B947" i="3"/>
  <c r="K946" i="3"/>
  <c r="E946" i="3"/>
  <c r="B946" i="3"/>
  <c r="U945" i="3"/>
  <c r="K945" i="3"/>
  <c r="E945" i="3"/>
  <c r="B945" i="3"/>
  <c r="U944" i="3"/>
  <c r="K944" i="3"/>
  <c r="E944" i="3"/>
  <c r="B944" i="3"/>
  <c r="U943" i="3"/>
  <c r="K943" i="3"/>
  <c r="E943" i="3"/>
  <c r="B943" i="3"/>
  <c r="K942" i="3"/>
  <c r="E942" i="3"/>
  <c r="B942" i="3"/>
  <c r="U941" i="3"/>
  <c r="K941" i="3"/>
  <c r="E941" i="3"/>
  <c r="B941" i="3"/>
  <c r="U940" i="3"/>
  <c r="K940" i="3"/>
  <c r="E940" i="3"/>
  <c r="B940" i="3"/>
  <c r="U939" i="3"/>
  <c r="K939" i="3"/>
  <c r="E939" i="3"/>
  <c r="B939" i="3"/>
  <c r="U938" i="3"/>
  <c r="K938" i="3"/>
  <c r="E938" i="3"/>
  <c r="B938" i="3"/>
  <c r="U937" i="3"/>
  <c r="K937" i="3"/>
  <c r="E937" i="3"/>
  <c r="B937" i="3"/>
  <c r="U936" i="3"/>
  <c r="K936" i="3"/>
  <c r="E936" i="3"/>
  <c r="B936" i="3"/>
  <c r="U935" i="3"/>
  <c r="K935" i="3"/>
  <c r="E935" i="3"/>
  <c r="B935" i="3"/>
  <c r="U934" i="3"/>
  <c r="K934" i="3"/>
  <c r="E934" i="3"/>
  <c r="B934" i="3"/>
  <c r="U933" i="3"/>
  <c r="K933" i="3"/>
  <c r="E933" i="3"/>
  <c r="B933" i="3"/>
  <c r="U932" i="3"/>
  <c r="K932" i="3"/>
  <c r="E932" i="3"/>
  <c r="B932" i="3"/>
  <c r="U931" i="3"/>
  <c r="K931" i="3"/>
  <c r="E931" i="3"/>
  <c r="B931" i="3"/>
  <c r="U930" i="3"/>
  <c r="K930" i="3"/>
  <c r="E930" i="3"/>
  <c r="B930" i="3"/>
  <c r="U929" i="3"/>
  <c r="K929" i="3"/>
  <c r="E929" i="3"/>
  <c r="B929" i="3"/>
  <c r="U928" i="3"/>
  <c r="K928" i="3"/>
  <c r="E928" i="3"/>
  <c r="B928" i="3"/>
  <c r="U927" i="3"/>
  <c r="K927" i="3"/>
  <c r="E927" i="3"/>
  <c r="B927" i="3"/>
  <c r="U926" i="3"/>
  <c r="K926" i="3"/>
  <c r="E926" i="3"/>
  <c r="B926" i="3"/>
  <c r="U925" i="3"/>
  <c r="K925" i="3"/>
  <c r="E925" i="3"/>
  <c r="B925" i="3"/>
  <c r="U924" i="3"/>
  <c r="K924" i="3"/>
  <c r="E924" i="3"/>
  <c r="B924" i="3"/>
  <c r="U923" i="3"/>
  <c r="K923" i="3"/>
  <c r="E923" i="3"/>
  <c r="B923" i="3"/>
  <c r="U922" i="3"/>
  <c r="K922" i="3"/>
  <c r="E922" i="3"/>
  <c r="B922" i="3"/>
  <c r="U921" i="3"/>
  <c r="K921" i="3"/>
  <c r="E921" i="3"/>
  <c r="B921" i="3"/>
  <c r="U920" i="3"/>
  <c r="K920" i="3"/>
  <c r="E920" i="3"/>
  <c r="B920" i="3"/>
  <c r="U919" i="3"/>
  <c r="K919" i="3"/>
  <c r="E919" i="3"/>
  <c r="B919" i="3"/>
  <c r="U918" i="3"/>
  <c r="K918" i="3"/>
  <c r="E918" i="3"/>
  <c r="B918" i="3"/>
  <c r="U917" i="3"/>
  <c r="K917" i="3"/>
  <c r="E917" i="3"/>
  <c r="B917" i="3"/>
  <c r="U916" i="3"/>
  <c r="K916" i="3"/>
  <c r="E916" i="3"/>
  <c r="B916" i="3"/>
  <c r="U915" i="3"/>
  <c r="K915" i="3"/>
  <c r="E915" i="3"/>
  <c r="B915" i="3"/>
  <c r="U914" i="3"/>
  <c r="K914" i="3"/>
  <c r="E914" i="3"/>
  <c r="B914" i="3"/>
  <c r="U913" i="3"/>
  <c r="K913" i="3"/>
  <c r="E913" i="3"/>
  <c r="B913" i="3"/>
  <c r="U912" i="3"/>
  <c r="K912" i="3"/>
  <c r="E912" i="3"/>
  <c r="B912" i="3"/>
  <c r="U911" i="3"/>
  <c r="K911" i="3"/>
  <c r="E911" i="3"/>
  <c r="B911" i="3"/>
  <c r="K910" i="3"/>
  <c r="E910" i="3"/>
  <c r="B910" i="3"/>
  <c r="U909" i="3"/>
  <c r="K909" i="3"/>
  <c r="E909" i="3"/>
  <c r="B909" i="3"/>
  <c r="U908" i="3"/>
  <c r="K908" i="3"/>
  <c r="E908" i="3"/>
  <c r="B908" i="3"/>
  <c r="U907" i="3"/>
  <c r="K907" i="3"/>
  <c r="E907" i="3"/>
  <c r="B907" i="3"/>
  <c r="U906" i="3"/>
  <c r="K906" i="3"/>
  <c r="E906" i="3"/>
  <c r="B906" i="3"/>
  <c r="U905" i="3"/>
  <c r="K905" i="3"/>
  <c r="E905" i="3"/>
  <c r="B905" i="3"/>
  <c r="U904" i="3"/>
  <c r="K904" i="3"/>
  <c r="E904" i="3"/>
  <c r="B904" i="3"/>
  <c r="U903" i="3"/>
  <c r="K903" i="3"/>
  <c r="E903" i="3"/>
  <c r="B903" i="3"/>
  <c r="U902" i="3"/>
  <c r="K902" i="3"/>
  <c r="E902" i="3"/>
  <c r="B902" i="3"/>
  <c r="U901" i="3"/>
  <c r="K901" i="3"/>
  <c r="E901" i="3"/>
  <c r="B901" i="3"/>
  <c r="U900" i="3"/>
  <c r="K900" i="3"/>
  <c r="E900" i="3"/>
  <c r="B900" i="3"/>
  <c r="U899" i="3"/>
  <c r="K899" i="3"/>
  <c r="E899" i="3"/>
  <c r="B899" i="3"/>
  <c r="U898" i="3"/>
  <c r="K898" i="3"/>
  <c r="E898" i="3"/>
  <c r="B898" i="3"/>
  <c r="U897" i="3"/>
  <c r="K897" i="3"/>
  <c r="E897" i="3"/>
  <c r="B897" i="3"/>
  <c r="U896" i="3"/>
  <c r="K896" i="3"/>
  <c r="E896" i="3"/>
  <c r="B896" i="3"/>
  <c r="K895" i="3"/>
  <c r="E895" i="3"/>
  <c r="B895" i="3"/>
  <c r="U894" i="3"/>
  <c r="K894" i="3"/>
  <c r="E894" i="3"/>
  <c r="B894" i="3"/>
  <c r="U893" i="3"/>
  <c r="K893" i="3"/>
  <c r="E893" i="3"/>
  <c r="B893" i="3"/>
  <c r="U892" i="3"/>
  <c r="K892" i="3"/>
  <c r="E892" i="3"/>
  <c r="B892" i="3"/>
  <c r="U891" i="3"/>
  <c r="K891" i="3"/>
  <c r="E891" i="3"/>
  <c r="B891" i="3"/>
  <c r="U890" i="3"/>
  <c r="K890" i="3"/>
  <c r="E890" i="3"/>
  <c r="B890" i="3"/>
  <c r="U889" i="3"/>
  <c r="K889" i="3"/>
  <c r="E889" i="3"/>
  <c r="B889" i="3"/>
  <c r="U888" i="3"/>
  <c r="K888" i="3"/>
  <c r="E888" i="3"/>
  <c r="B888" i="3"/>
  <c r="U887" i="3"/>
  <c r="K887" i="3"/>
  <c r="E887" i="3"/>
  <c r="B887" i="3"/>
  <c r="U886" i="3"/>
  <c r="K886" i="3"/>
  <c r="E886" i="3"/>
  <c r="B886" i="3"/>
  <c r="U885" i="3"/>
  <c r="K885" i="3"/>
  <c r="E885" i="3"/>
  <c r="B885" i="3"/>
  <c r="U884" i="3"/>
  <c r="K884" i="3"/>
  <c r="E884" i="3"/>
  <c r="B884" i="3"/>
  <c r="U883" i="3"/>
  <c r="K883" i="3"/>
  <c r="E883" i="3"/>
  <c r="B883" i="3"/>
  <c r="U882" i="3"/>
  <c r="K882" i="3"/>
  <c r="E882" i="3"/>
  <c r="B882" i="3"/>
  <c r="U881" i="3"/>
  <c r="K881" i="3"/>
  <c r="E881" i="3"/>
  <c r="B881" i="3"/>
  <c r="U880" i="3"/>
  <c r="K880" i="3"/>
  <c r="E880" i="3"/>
  <c r="B880" i="3"/>
  <c r="U879" i="3"/>
  <c r="K879" i="3"/>
  <c r="E879" i="3"/>
  <c r="B879" i="3"/>
  <c r="U878" i="3"/>
  <c r="K878" i="3"/>
  <c r="E878" i="3"/>
  <c r="B878" i="3"/>
  <c r="U877" i="3"/>
  <c r="K877" i="3"/>
  <c r="E877" i="3"/>
  <c r="B877" i="3"/>
  <c r="U876" i="3"/>
  <c r="K876" i="3"/>
  <c r="E876" i="3"/>
  <c r="B876" i="3"/>
  <c r="U875" i="3"/>
  <c r="K875" i="3"/>
  <c r="E875" i="3"/>
  <c r="B875" i="3"/>
  <c r="U874" i="3"/>
  <c r="K874" i="3"/>
  <c r="E874" i="3"/>
  <c r="B874" i="3"/>
  <c r="U873" i="3"/>
  <c r="K873" i="3"/>
  <c r="E873" i="3"/>
  <c r="B873" i="3"/>
  <c r="U872" i="3"/>
  <c r="K872" i="3"/>
  <c r="E872" i="3"/>
  <c r="B872" i="3"/>
  <c r="U871" i="3"/>
  <c r="K871" i="3"/>
  <c r="E871" i="3"/>
  <c r="B871" i="3"/>
  <c r="U870" i="3"/>
  <c r="K870" i="3"/>
  <c r="E870" i="3"/>
  <c r="B870" i="3"/>
  <c r="U869" i="3"/>
  <c r="K869" i="3"/>
  <c r="E869" i="3"/>
  <c r="B869" i="3"/>
  <c r="U868" i="3"/>
  <c r="K868" i="3"/>
  <c r="E868" i="3"/>
  <c r="B868" i="3"/>
  <c r="U867" i="3"/>
  <c r="K867" i="3"/>
  <c r="E867" i="3"/>
  <c r="B867" i="3"/>
  <c r="U866" i="3"/>
  <c r="K866" i="3"/>
  <c r="E866" i="3"/>
  <c r="B866" i="3"/>
  <c r="U865" i="3"/>
  <c r="K865" i="3"/>
  <c r="E865" i="3"/>
  <c r="B865" i="3"/>
  <c r="U864" i="3"/>
  <c r="K864" i="3"/>
  <c r="E864" i="3"/>
  <c r="B864" i="3"/>
  <c r="U863" i="3"/>
  <c r="K863" i="3"/>
  <c r="E863" i="3"/>
  <c r="B863" i="3"/>
  <c r="U862" i="3"/>
  <c r="K862" i="3"/>
  <c r="E862" i="3"/>
  <c r="B862" i="3"/>
  <c r="U861" i="3"/>
  <c r="K861" i="3"/>
  <c r="E861" i="3"/>
  <c r="B861" i="3"/>
  <c r="U860" i="3"/>
  <c r="K860" i="3"/>
  <c r="E860" i="3"/>
  <c r="B860" i="3"/>
  <c r="U859" i="3"/>
  <c r="K859" i="3"/>
  <c r="E859" i="3"/>
  <c r="B859" i="3"/>
  <c r="U858" i="3"/>
  <c r="K858" i="3"/>
  <c r="E858" i="3"/>
  <c r="B858" i="3"/>
  <c r="U857" i="3"/>
  <c r="K857" i="3"/>
  <c r="E857" i="3"/>
  <c r="B857" i="3"/>
  <c r="U856" i="3"/>
  <c r="K856" i="3"/>
  <c r="E856" i="3"/>
  <c r="B856" i="3"/>
  <c r="U855" i="3"/>
  <c r="K855" i="3"/>
  <c r="E855" i="3"/>
  <c r="B855" i="3"/>
  <c r="U854" i="3"/>
  <c r="K854" i="3"/>
  <c r="E854" i="3"/>
  <c r="B854" i="3"/>
  <c r="U853" i="3"/>
  <c r="K853" i="3"/>
  <c r="E853" i="3"/>
  <c r="B853" i="3"/>
  <c r="U852" i="3"/>
  <c r="K852" i="3"/>
  <c r="E852" i="3"/>
  <c r="B852" i="3"/>
  <c r="U851" i="3"/>
  <c r="K851" i="3"/>
  <c r="E851" i="3"/>
  <c r="B851" i="3"/>
  <c r="U850" i="3"/>
  <c r="K850" i="3"/>
  <c r="E850" i="3"/>
  <c r="B850" i="3"/>
  <c r="U849" i="3"/>
  <c r="K849" i="3"/>
  <c r="E849" i="3"/>
  <c r="B849" i="3"/>
  <c r="U848" i="3"/>
  <c r="K848" i="3"/>
  <c r="E848" i="3"/>
  <c r="B848" i="3"/>
  <c r="U847" i="3"/>
  <c r="K847" i="3"/>
  <c r="E847" i="3"/>
  <c r="B847" i="3"/>
  <c r="U846" i="3"/>
  <c r="K846" i="3"/>
  <c r="E846" i="3"/>
  <c r="B846" i="3"/>
  <c r="U845" i="3"/>
  <c r="K845" i="3"/>
  <c r="E845" i="3"/>
  <c r="B845" i="3"/>
  <c r="U844" i="3"/>
  <c r="K844" i="3"/>
  <c r="E844" i="3"/>
  <c r="B844" i="3"/>
  <c r="U843" i="3"/>
  <c r="K843" i="3"/>
  <c r="E843" i="3"/>
  <c r="B843" i="3"/>
  <c r="U842" i="3"/>
  <c r="K842" i="3"/>
  <c r="E842" i="3"/>
  <c r="B842" i="3"/>
  <c r="U841" i="3"/>
  <c r="K841" i="3"/>
  <c r="E841" i="3"/>
  <c r="B841" i="3"/>
  <c r="K840" i="3"/>
  <c r="E840" i="3"/>
  <c r="B840" i="3"/>
  <c r="U839" i="3"/>
  <c r="K839" i="3"/>
  <c r="E839" i="3"/>
  <c r="B839" i="3"/>
  <c r="U838" i="3"/>
  <c r="K838" i="3"/>
  <c r="E838" i="3"/>
  <c r="B838" i="3"/>
  <c r="U837" i="3"/>
  <c r="K837" i="3"/>
  <c r="E837" i="3"/>
  <c r="B837" i="3"/>
  <c r="K836" i="3"/>
  <c r="E836" i="3"/>
  <c r="B836" i="3"/>
  <c r="U835" i="3"/>
  <c r="K835" i="3"/>
  <c r="E835" i="3"/>
  <c r="B835" i="3"/>
  <c r="U834" i="3"/>
  <c r="K834" i="3"/>
  <c r="E834" i="3"/>
  <c r="B834" i="3"/>
  <c r="U833" i="3"/>
  <c r="K833" i="3"/>
  <c r="E833" i="3"/>
  <c r="B833" i="3"/>
  <c r="U832" i="3"/>
  <c r="K832" i="3"/>
  <c r="E832" i="3"/>
  <c r="B832" i="3"/>
  <c r="U831" i="3"/>
  <c r="K831" i="3"/>
  <c r="E831" i="3"/>
  <c r="B831" i="3"/>
  <c r="U830" i="3"/>
  <c r="K830" i="3"/>
  <c r="E830" i="3"/>
  <c r="B830" i="3"/>
  <c r="U829" i="3"/>
  <c r="K829" i="3"/>
  <c r="E829" i="3"/>
  <c r="B829" i="3"/>
  <c r="U828" i="3"/>
  <c r="K828" i="3"/>
  <c r="E828" i="3"/>
  <c r="B828" i="3"/>
  <c r="U827" i="3"/>
  <c r="K827" i="3"/>
  <c r="E827" i="3"/>
  <c r="B827" i="3"/>
  <c r="U826" i="3"/>
  <c r="K826" i="3"/>
  <c r="E826" i="3"/>
  <c r="B826" i="3"/>
  <c r="U825" i="3"/>
  <c r="K825" i="3"/>
  <c r="E825" i="3"/>
  <c r="B825" i="3"/>
  <c r="U824" i="3"/>
  <c r="K824" i="3"/>
  <c r="E824" i="3"/>
  <c r="B824" i="3"/>
  <c r="U823" i="3"/>
  <c r="K823" i="3"/>
  <c r="E823" i="3"/>
  <c r="B823" i="3"/>
  <c r="U822" i="3"/>
  <c r="K822" i="3"/>
  <c r="E822" i="3"/>
  <c r="B822" i="3"/>
  <c r="U821" i="3"/>
  <c r="K821" i="3"/>
  <c r="E821" i="3"/>
  <c r="B821" i="3"/>
  <c r="U820" i="3"/>
  <c r="K820" i="3"/>
  <c r="E820" i="3"/>
  <c r="B820" i="3"/>
  <c r="U819" i="3"/>
  <c r="K819" i="3"/>
  <c r="E819" i="3"/>
  <c r="B819" i="3"/>
  <c r="U818" i="3"/>
  <c r="K818" i="3"/>
  <c r="E818" i="3"/>
  <c r="B818" i="3"/>
  <c r="U817" i="3"/>
  <c r="K817" i="3"/>
  <c r="E817" i="3"/>
  <c r="B817" i="3"/>
  <c r="K816" i="3"/>
  <c r="E816" i="3"/>
  <c r="B816" i="3"/>
  <c r="U815" i="3"/>
  <c r="K815" i="3"/>
  <c r="E815" i="3"/>
  <c r="B815" i="3"/>
  <c r="U814" i="3"/>
  <c r="K814" i="3"/>
  <c r="E814" i="3"/>
  <c r="B814" i="3"/>
  <c r="U813" i="3"/>
  <c r="K813" i="3"/>
  <c r="E813" i="3"/>
  <c r="B813" i="3"/>
  <c r="U812" i="3"/>
  <c r="K812" i="3"/>
  <c r="E812" i="3"/>
  <c r="B812" i="3"/>
  <c r="U811" i="3"/>
  <c r="K811" i="3"/>
  <c r="E811" i="3"/>
  <c r="B811" i="3"/>
  <c r="U810" i="3"/>
  <c r="K810" i="3"/>
  <c r="E810" i="3"/>
  <c r="B810" i="3"/>
  <c r="U809" i="3"/>
  <c r="K809" i="3"/>
  <c r="E809" i="3"/>
  <c r="B809" i="3"/>
  <c r="U808" i="3"/>
  <c r="K808" i="3"/>
  <c r="E808" i="3"/>
  <c r="B808" i="3"/>
  <c r="U807" i="3"/>
  <c r="K807" i="3"/>
  <c r="E807" i="3"/>
  <c r="B807" i="3"/>
  <c r="U806" i="3"/>
  <c r="K806" i="3"/>
  <c r="E806" i="3"/>
  <c r="B806" i="3"/>
  <c r="U805" i="3"/>
  <c r="K805" i="3"/>
  <c r="E805" i="3"/>
  <c r="B805" i="3"/>
  <c r="U804" i="3"/>
  <c r="K804" i="3"/>
  <c r="E804" i="3"/>
  <c r="B804" i="3"/>
  <c r="U803" i="3"/>
  <c r="K803" i="3"/>
  <c r="E803" i="3"/>
  <c r="B803" i="3"/>
  <c r="U802" i="3"/>
  <c r="K802" i="3"/>
  <c r="E802" i="3"/>
  <c r="B802" i="3"/>
  <c r="U801" i="3"/>
  <c r="K801" i="3"/>
  <c r="E801" i="3"/>
  <c r="B801" i="3"/>
  <c r="U800" i="3"/>
  <c r="K800" i="3"/>
  <c r="E800" i="3"/>
  <c r="B800" i="3"/>
  <c r="U799" i="3"/>
  <c r="K799" i="3"/>
  <c r="E799" i="3"/>
  <c r="B799" i="3"/>
  <c r="U798" i="3"/>
  <c r="K798" i="3"/>
  <c r="E798" i="3"/>
  <c r="B798" i="3"/>
  <c r="U797" i="3"/>
  <c r="K797" i="3"/>
  <c r="E797" i="3"/>
  <c r="B797" i="3"/>
  <c r="U796" i="3"/>
  <c r="K796" i="3"/>
  <c r="E796" i="3"/>
  <c r="B796" i="3"/>
  <c r="U795" i="3"/>
  <c r="K795" i="3"/>
  <c r="E795" i="3"/>
  <c r="B795" i="3"/>
  <c r="U794" i="3"/>
  <c r="K794" i="3"/>
  <c r="E794" i="3"/>
  <c r="B794" i="3"/>
  <c r="U793" i="3"/>
  <c r="K793" i="3"/>
  <c r="E793" i="3"/>
  <c r="B793" i="3"/>
  <c r="U792" i="3"/>
  <c r="K792" i="3"/>
  <c r="E792" i="3"/>
  <c r="B792" i="3"/>
  <c r="U791" i="3"/>
  <c r="K791" i="3"/>
  <c r="E791" i="3"/>
  <c r="B791" i="3"/>
  <c r="U790" i="3"/>
  <c r="K790" i="3"/>
  <c r="E790" i="3"/>
  <c r="B790" i="3"/>
  <c r="U789" i="3"/>
  <c r="K789" i="3"/>
  <c r="E789" i="3"/>
  <c r="B789" i="3"/>
  <c r="U788" i="3"/>
  <c r="K788" i="3"/>
  <c r="E788" i="3"/>
  <c r="B788" i="3"/>
  <c r="U787" i="3"/>
  <c r="K787" i="3"/>
  <c r="E787" i="3"/>
  <c r="B787" i="3"/>
  <c r="U786" i="3"/>
  <c r="K786" i="3"/>
  <c r="E786" i="3"/>
  <c r="B786" i="3"/>
  <c r="U785" i="3"/>
  <c r="K785" i="3"/>
  <c r="E785" i="3"/>
  <c r="B785" i="3"/>
  <c r="U784" i="3"/>
  <c r="K784" i="3"/>
  <c r="E784" i="3"/>
  <c r="B784" i="3"/>
  <c r="U783" i="3"/>
  <c r="K783" i="3"/>
  <c r="E783" i="3"/>
  <c r="B783" i="3"/>
  <c r="U782" i="3"/>
  <c r="K782" i="3"/>
  <c r="E782" i="3"/>
  <c r="B782" i="3"/>
  <c r="U781" i="3"/>
  <c r="K781" i="3"/>
  <c r="E781" i="3"/>
  <c r="B781" i="3"/>
  <c r="U780" i="3"/>
  <c r="K780" i="3"/>
  <c r="E780" i="3"/>
  <c r="B780" i="3"/>
  <c r="U779" i="3"/>
  <c r="K779" i="3"/>
  <c r="E779" i="3"/>
  <c r="B779" i="3"/>
  <c r="U778" i="3"/>
  <c r="K778" i="3"/>
  <c r="E778" i="3"/>
  <c r="B778" i="3"/>
  <c r="U777" i="3"/>
  <c r="K777" i="3"/>
  <c r="E777" i="3"/>
  <c r="B777" i="3"/>
  <c r="U776" i="3"/>
  <c r="K776" i="3"/>
  <c r="E776" i="3"/>
  <c r="B776" i="3"/>
  <c r="U775" i="3"/>
  <c r="K775" i="3"/>
  <c r="E775" i="3"/>
  <c r="B775" i="3"/>
  <c r="U774" i="3"/>
  <c r="K774" i="3"/>
  <c r="E774" i="3"/>
  <c r="B774" i="3"/>
  <c r="K773" i="3"/>
  <c r="E773" i="3"/>
  <c r="B773" i="3"/>
  <c r="U772" i="3"/>
  <c r="K772" i="3"/>
  <c r="E772" i="3"/>
  <c r="B772" i="3"/>
  <c r="U771" i="3"/>
  <c r="K771" i="3"/>
  <c r="E771" i="3"/>
  <c r="B771" i="3"/>
  <c r="U770" i="3"/>
  <c r="K770" i="3"/>
  <c r="E770" i="3"/>
  <c r="B770" i="3"/>
  <c r="U769" i="3"/>
  <c r="K769" i="3"/>
  <c r="E769" i="3"/>
  <c r="B769" i="3"/>
  <c r="U768" i="3"/>
  <c r="K768" i="3"/>
  <c r="E768" i="3"/>
  <c r="B768" i="3"/>
  <c r="U767" i="3"/>
  <c r="K767" i="3"/>
  <c r="E767" i="3"/>
  <c r="B767" i="3"/>
  <c r="U766" i="3"/>
  <c r="K766" i="3"/>
  <c r="E766" i="3"/>
  <c r="B766" i="3"/>
  <c r="U765" i="3"/>
  <c r="K765" i="3"/>
  <c r="E765" i="3"/>
  <c r="B765" i="3"/>
  <c r="U764" i="3"/>
  <c r="K764" i="3"/>
  <c r="E764" i="3"/>
  <c r="B764" i="3"/>
  <c r="U763" i="3"/>
  <c r="K763" i="3"/>
  <c r="E763" i="3"/>
  <c r="B763" i="3"/>
  <c r="U762" i="3"/>
  <c r="K762" i="3"/>
  <c r="E762" i="3"/>
  <c r="B762" i="3"/>
  <c r="U761" i="3"/>
  <c r="K761" i="3"/>
  <c r="E761" i="3"/>
  <c r="B761" i="3"/>
  <c r="U760" i="3"/>
  <c r="K760" i="3"/>
  <c r="E760" i="3"/>
  <c r="B760" i="3"/>
  <c r="U759" i="3"/>
  <c r="K759" i="3"/>
  <c r="E759" i="3"/>
  <c r="B759" i="3"/>
  <c r="U758" i="3"/>
  <c r="K758" i="3"/>
  <c r="E758" i="3"/>
  <c r="B758" i="3"/>
  <c r="U757" i="3"/>
  <c r="K757" i="3"/>
  <c r="E757" i="3"/>
  <c r="B757" i="3"/>
  <c r="U756" i="3"/>
  <c r="K756" i="3"/>
  <c r="E756" i="3"/>
  <c r="B756" i="3"/>
  <c r="U755" i="3"/>
  <c r="K755" i="3"/>
  <c r="E755" i="3"/>
  <c r="B755" i="3"/>
  <c r="U754" i="3"/>
  <c r="K754" i="3"/>
  <c r="E754" i="3"/>
  <c r="B754" i="3"/>
  <c r="U753" i="3"/>
  <c r="K753" i="3"/>
  <c r="E753" i="3"/>
  <c r="B753" i="3"/>
  <c r="U752" i="3"/>
  <c r="K752" i="3"/>
  <c r="E752" i="3"/>
  <c r="B752" i="3"/>
  <c r="U751" i="3"/>
  <c r="K751" i="3"/>
  <c r="E751" i="3"/>
  <c r="B751" i="3"/>
  <c r="U750" i="3"/>
  <c r="K750" i="3"/>
  <c r="E750" i="3"/>
  <c r="B750" i="3"/>
  <c r="U749" i="3"/>
  <c r="K749" i="3"/>
  <c r="E749" i="3"/>
  <c r="B749" i="3"/>
  <c r="K748" i="3"/>
  <c r="E748" i="3"/>
  <c r="B748" i="3"/>
  <c r="U747" i="3"/>
  <c r="K747" i="3"/>
  <c r="E747" i="3"/>
  <c r="B747" i="3"/>
  <c r="U746" i="3"/>
  <c r="K746" i="3"/>
  <c r="E746" i="3"/>
  <c r="B746" i="3"/>
  <c r="U745" i="3"/>
  <c r="K745" i="3"/>
  <c r="E745" i="3"/>
  <c r="B745" i="3"/>
  <c r="U744" i="3"/>
  <c r="K744" i="3"/>
  <c r="E744" i="3"/>
  <c r="B744" i="3"/>
  <c r="U743" i="3"/>
  <c r="K743" i="3"/>
  <c r="E743" i="3"/>
  <c r="B743" i="3"/>
  <c r="U742" i="3"/>
  <c r="K742" i="3"/>
  <c r="E742" i="3"/>
  <c r="B742" i="3"/>
  <c r="U741" i="3"/>
  <c r="K741" i="3"/>
  <c r="E741" i="3"/>
  <c r="B741" i="3"/>
  <c r="U740" i="3"/>
  <c r="K740" i="3"/>
  <c r="E740" i="3"/>
  <c r="B740" i="3"/>
  <c r="U739" i="3"/>
  <c r="K739" i="3"/>
  <c r="E739" i="3"/>
  <c r="B739" i="3"/>
  <c r="U738" i="3"/>
  <c r="K738" i="3"/>
  <c r="E738" i="3"/>
  <c r="B738" i="3"/>
  <c r="K737" i="3"/>
  <c r="E737" i="3"/>
  <c r="B737" i="3"/>
  <c r="U736" i="3"/>
  <c r="K736" i="3"/>
  <c r="E736" i="3"/>
  <c r="B736" i="3"/>
  <c r="U735" i="3"/>
  <c r="K735" i="3"/>
  <c r="E735" i="3"/>
  <c r="B735" i="3"/>
  <c r="U734" i="3"/>
  <c r="K734" i="3"/>
  <c r="E734" i="3"/>
  <c r="B734" i="3"/>
  <c r="U733" i="3"/>
  <c r="K733" i="3"/>
  <c r="E733" i="3"/>
  <c r="B733" i="3"/>
  <c r="U732" i="3"/>
  <c r="K732" i="3"/>
  <c r="E732" i="3"/>
  <c r="B732" i="3"/>
  <c r="U731" i="3"/>
  <c r="K731" i="3"/>
  <c r="E731" i="3"/>
  <c r="B731" i="3"/>
  <c r="U730" i="3"/>
  <c r="K730" i="3"/>
  <c r="E730" i="3"/>
  <c r="B730" i="3"/>
  <c r="U729" i="3"/>
  <c r="K729" i="3"/>
  <c r="E729" i="3"/>
  <c r="B729" i="3"/>
  <c r="U728" i="3"/>
  <c r="K728" i="3"/>
  <c r="E728" i="3"/>
  <c r="B728" i="3"/>
  <c r="U727" i="3"/>
  <c r="K727" i="3"/>
  <c r="E727" i="3"/>
  <c r="B727" i="3"/>
  <c r="U726" i="3"/>
  <c r="K726" i="3"/>
  <c r="E726" i="3"/>
  <c r="B726" i="3"/>
  <c r="U725" i="3"/>
  <c r="K725" i="3"/>
  <c r="E725" i="3"/>
  <c r="B725" i="3"/>
  <c r="U724" i="3"/>
  <c r="K724" i="3"/>
  <c r="E724" i="3"/>
  <c r="B724" i="3"/>
  <c r="U723" i="3"/>
  <c r="K723" i="3"/>
  <c r="E723" i="3"/>
  <c r="B723" i="3"/>
  <c r="U722" i="3"/>
  <c r="K722" i="3"/>
  <c r="E722" i="3"/>
  <c r="B722" i="3"/>
  <c r="U721" i="3"/>
  <c r="K721" i="3"/>
  <c r="E721" i="3"/>
  <c r="B721" i="3"/>
  <c r="U720" i="3"/>
  <c r="K720" i="3"/>
  <c r="E720" i="3"/>
  <c r="B720" i="3"/>
  <c r="U719" i="3"/>
  <c r="K719" i="3"/>
  <c r="E719" i="3"/>
  <c r="B719" i="3"/>
  <c r="U718" i="3"/>
  <c r="K718" i="3"/>
  <c r="E718" i="3"/>
  <c r="B718" i="3"/>
  <c r="U717" i="3"/>
  <c r="K717" i="3"/>
  <c r="E717" i="3"/>
  <c r="B717" i="3"/>
  <c r="U716" i="3"/>
  <c r="K716" i="3"/>
  <c r="E716" i="3"/>
  <c r="B716" i="3"/>
  <c r="U715" i="3"/>
  <c r="K715" i="3"/>
  <c r="E715" i="3"/>
  <c r="B715" i="3"/>
  <c r="U714" i="3"/>
  <c r="K714" i="3"/>
  <c r="E714" i="3"/>
  <c r="B714" i="3"/>
  <c r="U713" i="3"/>
  <c r="K713" i="3"/>
  <c r="E713" i="3"/>
  <c r="B713" i="3"/>
  <c r="U712" i="3"/>
  <c r="K712" i="3"/>
  <c r="E712" i="3"/>
  <c r="B712" i="3"/>
  <c r="U711" i="3"/>
  <c r="K711" i="3"/>
  <c r="E711" i="3"/>
  <c r="B711" i="3"/>
  <c r="U710" i="3"/>
  <c r="K710" i="3"/>
  <c r="E710" i="3"/>
  <c r="B710" i="3"/>
  <c r="U709" i="3"/>
  <c r="K709" i="3"/>
  <c r="E709" i="3"/>
  <c r="B709" i="3"/>
  <c r="U708" i="3"/>
  <c r="K708" i="3"/>
  <c r="E708" i="3"/>
  <c r="B708" i="3"/>
  <c r="U707" i="3"/>
  <c r="K707" i="3"/>
  <c r="E707" i="3"/>
  <c r="B707" i="3"/>
  <c r="U706" i="3"/>
  <c r="K706" i="3"/>
  <c r="E706" i="3"/>
  <c r="B706" i="3"/>
  <c r="U705" i="3"/>
  <c r="K705" i="3"/>
  <c r="E705" i="3"/>
  <c r="B705" i="3"/>
  <c r="U704" i="3"/>
  <c r="K704" i="3"/>
  <c r="E704" i="3"/>
  <c r="B704" i="3"/>
  <c r="U703" i="3"/>
  <c r="K703" i="3"/>
  <c r="E703" i="3"/>
  <c r="B703" i="3"/>
  <c r="U702" i="3"/>
  <c r="K702" i="3"/>
  <c r="E702" i="3"/>
  <c r="B702" i="3"/>
  <c r="U701" i="3"/>
  <c r="K701" i="3"/>
  <c r="E701" i="3"/>
  <c r="B701" i="3"/>
  <c r="U700" i="3"/>
  <c r="K700" i="3"/>
  <c r="E700" i="3"/>
  <c r="B700" i="3"/>
  <c r="U699" i="3"/>
  <c r="K699" i="3"/>
  <c r="E699" i="3"/>
  <c r="B699" i="3"/>
  <c r="U698" i="3"/>
  <c r="K698" i="3"/>
  <c r="E698" i="3"/>
  <c r="B698" i="3"/>
  <c r="U697" i="3"/>
  <c r="K697" i="3"/>
  <c r="E697" i="3"/>
  <c r="B697" i="3"/>
  <c r="U696" i="3"/>
  <c r="K696" i="3"/>
  <c r="E696" i="3"/>
  <c r="B696" i="3"/>
  <c r="U695" i="3"/>
  <c r="K695" i="3"/>
  <c r="E695" i="3"/>
  <c r="B695" i="3"/>
  <c r="U694" i="3"/>
  <c r="K694" i="3"/>
  <c r="E694" i="3"/>
  <c r="B694" i="3"/>
  <c r="U693" i="3"/>
  <c r="K693" i="3"/>
  <c r="E693" i="3"/>
  <c r="B693" i="3"/>
  <c r="U692" i="3"/>
  <c r="K692" i="3"/>
  <c r="E692" i="3"/>
  <c r="B692" i="3"/>
  <c r="K691" i="3"/>
  <c r="E691" i="3"/>
  <c r="B691" i="3"/>
  <c r="U690" i="3"/>
  <c r="K690" i="3"/>
  <c r="E690" i="3"/>
  <c r="B690" i="3"/>
  <c r="K689" i="3"/>
  <c r="E689" i="3"/>
  <c r="B689" i="3"/>
  <c r="U688" i="3"/>
  <c r="K688" i="3"/>
  <c r="E688" i="3"/>
  <c r="B688" i="3"/>
  <c r="U687" i="3"/>
  <c r="K687" i="3"/>
  <c r="E687" i="3"/>
  <c r="B687" i="3"/>
  <c r="U686" i="3"/>
  <c r="K686" i="3"/>
  <c r="E686" i="3"/>
  <c r="B686" i="3"/>
  <c r="U685" i="3"/>
  <c r="K685" i="3"/>
  <c r="E685" i="3"/>
  <c r="B685" i="3"/>
  <c r="U684" i="3"/>
  <c r="K684" i="3"/>
  <c r="E684" i="3"/>
  <c r="B684" i="3"/>
  <c r="U683" i="3"/>
  <c r="K683" i="3"/>
  <c r="E683" i="3"/>
  <c r="B683" i="3"/>
  <c r="U682" i="3"/>
  <c r="K682" i="3"/>
  <c r="E682" i="3"/>
  <c r="B682" i="3"/>
  <c r="U681" i="3"/>
  <c r="K681" i="3"/>
  <c r="E681" i="3"/>
  <c r="B681" i="3"/>
  <c r="U680" i="3"/>
  <c r="K680" i="3"/>
  <c r="E680" i="3"/>
  <c r="B680" i="3"/>
  <c r="U679" i="3"/>
  <c r="K679" i="3"/>
  <c r="E679" i="3"/>
  <c r="B679" i="3"/>
  <c r="U678" i="3"/>
  <c r="K678" i="3"/>
  <c r="E678" i="3"/>
  <c r="B678" i="3"/>
  <c r="U677" i="3"/>
  <c r="K677" i="3"/>
  <c r="E677" i="3"/>
  <c r="B677" i="3"/>
  <c r="U676" i="3"/>
  <c r="K676" i="3"/>
  <c r="E676" i="3"/>
  <c r="B676" i="3"/>
  <c r="U675" i="3"/>
  <c r="K675" i="3"/>
  <c r="E675" i="3"/>
  <c r="B675" i="3"/>
  <c r="U674" i="3"/>
  <c r="K674" i="3"/>
  <c r="E674" i="3"/>
  <c r="B674" i="3"/>
  <c r="U673" i="3"/>
  <c r="K673" i="3"/>
  <c r="E673" i="3"/>
  <c r="B673" i="3"/>
  <c r="U672" i="3"/>
  <c r="K672" i="3"/>
  <c r="E672" i="3"/>
  <c r="B672" i="3"/>
  <c r="U671" i="3"/>
  <c r="K671" i="3"/>
  <c r="E671" i="3"/>
  <c r="B671" i="3"/>
  <c r="U670" i="3"/>
  <c r="K670" i="3"/>
  <c r="E670" i="3"/>
  <c r="B670" i="3"/>
  <c r="U669" i="3"/>
  <c r="K669" i="3"/>
  <c r="E669" i="3"/>
  <c r="B669" i="3"/>
  <c r="U668" i="3"/>
  <c r="K668" i="3"/>
  <c r="E668" i="3"/>
  <c r="B668" i="3"/>
  <c r="U667" i="3"/>
  <c r="K667" i="3"/>
  <c r="E667" i="3"/>
  <c r="B667" i="3"/>
  <c r="U666" i="3"/>
  <c r="K666" i="3"/>
  <c r="E666" i="3"/>
  <c r="B666" i="3"/>
  <c r="U665" i="3"/>
  <c r="K665" i="3"/>
  <c r="E665" i="3"/>
  <c r="B665" i="3"/>
  <c r="U664" i="3"/>
  <c r="K664" i="3"/>
  <c r="E664" i="3"/>
  <c r="B664" i="3"/>
  <c r="U663" i="3"/>
  <c r="K663" i="3"/>
  <c r="E663" i="3"/>
  <c r="B663" i="3"/>
  <c r="U662" i="3"/>
  <c r="K662" i="3"/>
  <c r="E662" i="3"/>
  <c r="B662" i="3"/>
  <c r="U661" i="3"/>
  <c r="K661" i="3"/>
  <c r="E661" i="3"/>
  <c r="B661" i="3"/>
  <c r="U660" i="3"/>
  <c r="K660" i="3"/>
  <c r="E660" i="3"/>
  <c r="B660" i="3"/>
  <c r="U659" i="3"/>
  <c r="K659" i="3"/>
  <c r="E659" i="3"/>
  <c r="B659" i="3"/>
  <c r="U658" i="3"/>
  <c r="K658" i="3"/>
  <c r="E658" i="3"/>
  <c r="B658" i="3"/>
  <c r="U657" i="3"/>
  <c r="K657" i="3"/>
  <c r="E657" i="3"/>
  <c r="B657" i="3"/>
  <c r="U656" i="3"/>
  <c r="K656" i="3"/>
  <c r="E656" i="3"/>
  <c r="B656" i="3"/>
  <c r="U655" i="3"/>
  <c r="K655" i="3"/>
  <c r="E655" i="3"/>
  <c r="B655" i="3"/>
  <c r="U654" i="3"/>
  <c r="K654" i="3"/>
  <c r="E654" i="3"/>
  <c r="B654" i="3"/>
  <c r="U653" i="3"/>
  <c r="K653" i="3"/>
  <c r="E653" i="3"/>
  <c r="B653" i="3"/>
  <c r="U652" i="3"/>
  <c r="K652" i="3"/>
  <c r="E652" i="3"/>
  <c r="B652" i="3"/>
  <c r="U651" i="3"/>
  <c r="K651" i="3"/>
  <c r="E651" i="3"/>
  <c r="B651" i="3"/>
  <c r="U650" i="3"/>
  <c r="K650" i="3"/>
  <c r="E650" i="3"/>
  <c r="B650" i="3"/>
  <c r="U649" i="3"/>
  <c r="K649" i="3"/>
  <c r="E649" i="3"/>
  <c r="B649" i="3"/>
  <c r="U648" i="3"/>
  <c r="K648" i="3"/>
  <c r="E648" i="3"/>
  <c r="B648" i="3"/>
  <c r="U647" i="3"/>
  <c r="K647" i="3"/>
  <c r="E647" i="3"/>
  <c r="B647" i="3"/>
  <c r="U646" i="3"/>
  <c r="K646" i="3"/>
  <c r="E646" i="3"/>
  <c r="B646" i="3"/>
  <c r="U645" i="3"/>
  <c r="K645" i="3"/>
  <c r="E645" i="3"/>
  <c r="B645" i="3"/>
  <c r="U644" i="3"/>
  <c r="K644" i="3"/>
  <c r="E644" i="3"/>
  <c r="B644" i="3"/>
  <c r="U643" i="3"/>
  <c r="K643" i="3"/>
  <c r="E643" i="3"/>
  <c r="B643" i="3"/>
  <c r="U642" i="3"/>
  <c r="K642" i="3"/>
  <c r="E642" i="3"/>
  <c r="B642" i="3"/>
  <c r="U641" i="3"/>
  <c r="K641" i="3"/>
  <c r="E641" i="3"/>
  <c r="B641" i="3"/>
  <c r="U640" i="3"/>
  <c r="K640" i="3"/>
  <c r="E640" i="3"/>
  <c r="B640" i="3"/>
  <c r="U639" i="3"/>
  <c r="K639" i="3"/>
  <c r="E639" i="3"/>
  <c r="B639" i="3"/>
  <c r="U638" i="3"/>
  <c r="K638" i="3"/>
  <c r="E638" i="3"/>
  <c r="B638" i="3"/>
  <c r="U637" i="3"/>
  <c r="K637" i="3"/>
  <c r="E637" i="3"/>
  <c r="B637" i="3"/>
  <c r="U636" i="3"/>
  <c r="K636" i="3"/>
  <c r="E636" i="3"/>
  <c r="B636" i="3"/>
  <c r="U635" i="3"/>
  <c r="K635" i="3"/>
  <c r="E635" i="3"/>
  <c r="B635" i="3"/>
  <c r="U634" i="3"/>
  <c r="K634" i="3"/>
  <c r="E634" i="3"/>
  <c r="B634" i="3"/>
  <c r="U633" i="3"/>
  <c r="K633" i="3"/>
  <c r="E633" i="3"/>
  <c r="B633" i="3"/>
  <c r="U632" i="3"/>
  <c r="K632" i="3"/>
  <c r="E632" i="3"/>
  <c r="B632" i="3"/>
  <c r="U631" i="3"/>
  <c r="K631" i="3"/>
  <c r="E631" i="3"/>
  <c r="B631" i="3"/>
  <c r="U630" i="3"/>
  <c r="K630" i="3"/>
  <c r="E630" i="3"/>
  <c r="B630" i="3"/>
  <c r="U629" i="3"/>
  <c r="K629" i="3"/>
  <c r="E629" i="3"/>
  <c r="B629" i="3"/>
  <c r="U628" i="3"/>
  <c r="K628" i="3"/>
  <c r="E628" i="3"/>
  <c r="B628" i="3"/>
  <c r="U627" i="3"/>
  <c r="K627" i="3"/>
  <c r="E627" i="3"/>
  <c r="B627" i="3"/>
  <c r="U626" i="3"/>
  <c r="K626" i="3"/>
  <c r="E626" i="3"/>
  <c r="B626" i="3"/>
  <c r="U625" i="3"/>
  <c r="K625" i="3"/>
  <c r="E625" i="3"/>
  <c r="B625" i="3"/>
  <c r="U624" i="3"/>
  <c r="K624" i="3"/>
  <c r="E624" i="3"/>
  <c r="B624" i="3"/>
  <c r="U623" i="3"/>
  <c r="K623" i="3"/>
  <c r="E623" i="3"/>
  <c r="B623" i="3"/>
  <c r="U622" i="3"/>
  <c r="K622" i="3"/>
  <c r="E622" i="3"/>
  <c r="B622" i="3"/>
  <c r="U621" i="3"/>
  <c r="K621" i="3"/>
  <c r="E621" i="3"/>
  <c r="B621" i="3"/>
  <c r="U620" i="3"/>
  <c r="K620" i="3"/>
  <c r="E620" i="3"/>
  <c r="B620" i="3"/>
  <c r="U619" i="3"/>
  <c r="K619" i="3"/>
  <c r="E619" i="3"/>
  <c r="B619" i="3"/>
  <c r="U618" i="3"/>
  <c r="K618" i="3"/>
  <c r="E618" i="3"/>
  <c r="B618" i="3"/>
  <c r="U617" i="3"/>
  <c r="K617" i="3"/>
  <c r="E617" i="3"/>
  <c r="B617" i="3"/>
  <c r="U616" i="3"/>
  <c r="K616" i="3"/>
  <c r="E616" i="3"/>
  <c r="B616" i="3"/>
  <c r="U615" i="3"/>
  <c r="K615" i="3"/>
  <c r="E615" i="3"/>
  <c r="B615" i="3"/>
  <c r="U614" i="3"/>
  <c r="K614" i="3"/>
  <c r="E614" i="3"/>
  <c r="B614" i="3"/>
  <c r="U613" i="3"/>
  <c r="K613" i="3"/>
  <c r="E613" i="3"/>
  <c r="B613" i="3"/>
  <c r="U612" i="3"/>
  <c r="K612" i="3"/>
  <c r="E612" i="3"/>
  <c r="B612" i="3"/>
  <c r="U611" i="3"/>
  <c r="K611" i="3"/>
  <c r="E611" i="3"/>
  <c r="B611" i="3"/>
  <c r="U610" i="3"/>
  <c r="K610" i="3"/>
  <c r="E610" i="3"/>
  <c r="B610" i="3"/>
  <c r="U609" i="3"/>
  <c r="K609" i="3"/>
  <c r="E609" i="3"/>
  <c r="B609" i="3"/>
  <c r="U608" i="3"/>
  <c r="K608" i="3"/>
  <c r="E608" i="3"/>
  <c r="B608" i="3"/>
  <c r="U607" i="3"/>
  <c r="K607" i="3"/>
  <c r="E607" i="3"/>
  <c r="B607" i="3"/>
  <c r="U606" i="3"/>
  <c r="K606" i="3"/>
  <c r="E606" i="3"/>
  <c r="B606" i="3"/>
  <c r="U605" i="3"/>
  <c r="K605" i="3"/>
  <c r="E605" i="3"/>
  <c r="B605" i="3"/>
  <c r="U604" i="3"/>
  <c r="K604" i="3"/>
  <c r="E604" i="3"/>
  <c r="B604" i="3"/>
  <c r="U603" i="3"/>
  <c r="K603" i="3"/>
  <c r="E603" i="3"/>
  <c r="B603" i="3"/>
  <c r="U602" i="3"/>
  <c r="K602" i="3"/>
  <c r="E602" i="3"/>
  <c r="B602" i="3"/>
  <c r="K601" i="3"/>
  <c r="E601" i="3"/>
  <c r="B601" i="3"/>
  <c r="U600" i="3"/>
  <c r="K600" i="3"/>
  <c r="E600" i="3"/>
  <c r="B600" i="3"/>
  <c r="U599" i="3"/>
  <c r="K599" i="3"/>
  <c r="E599" i="3"/>
  <c r="B599" i="3"/>
  <c r="U598" i="3"/>
  <c r="K598" i="3"/>
  <c r="E598" i="3"/>
  <c r="B598" i="3"/>
  <c r="U597" i="3"/>
  <c r="K597" i="3"/>
  <c r="E597" i="3"/>
  <c r="B597" i="3"/>
  <c r="U596" i="3"/>
  <c r="K596" i="3"/>
  <c r="E596" i="3"/>
  <c r="B596" i="3"/>
  <c r="U595" i="3"/>
  <c r="K595" i="3"/>
  <c r="E595" i="3"/>
  <c r="B595" i="3"/>
  <c r="U594" i="3"/>
  <c r="K594" i="3"/>
  <c r="E594" i="3"/>
  <c r="B594" i="3"/>
  <c r="U593" i="3"/>
  <c r="K593" i="3"/>
  <c r="E593" i="3"/>
  <c r="B593" i="3"/>
  <c r="U592" i="3"/>
  <c r="K592" i="3"/>
  <c r="E592" i="3"/>
  <c r="B592" i="3"/>
  <c r="U591" i="3"/>
  <c r="K591" i="3"/>
  <c r="E591" i="3"/>
  <c r="B591" i="3"/>
  <c r="U590" i="3"/>
  <c r="K590" i="3"/>
  <c r="E590" i="3"/>
  <c r="B590" i="3"/>
  <c r="U589" i="3"/>
  <c r="K589" i="3"/>
  <c r="E589" i="3"/>
  <c r="B589" i="3"/>
  <c r="U588" i="3"/>
  <c r="K588" i="3"/>
  <c r="E588" i="3"/>
  <c r="B588" i="3"/>
  <c r="U587" i="3"/>
  <c r="K587" i="3"/>
  <c r="E587" i="3"/>
  <c r="B587" i="3"/>
  <c r="U586" i="3"/>
  <c r="K586" i="3"/>
  <c r="E586" i="3"/>
  <c r="B586" i="3"/>
  <c r="U585" i="3"/>
  <c r="K585" i="3"/>
  <c r="E585" i="3"/>
  <c r="B585" i="3"/>
  <c r="U584" i="3"/>
  <c r="K584" i="3"/>
  <c r="E584" i="3"/>
  <c r="B584" i="3"/>
  <c r="U583" i="3"/>
  <c r="K583" i="3"/>
  <c r="E583" i="3"/>
  <c r="B583" i="3"/>
  <c r="U582" i="3"/>
  <c r="K582" i="3"/>
  <c r="E582" i="3"/>
  <c r="B582" i="3"/>
  <c r="U581" i="3"/>
  <c r="K581" i="3"/>
  <c r="E581" i="3"/>
  <c r="B581" i="3"/>
  <c r="U580" i="3"/>
  <c r="K580" i="3"/>
  <c r="E580" i="3"/>
  <c r="B580" i="3"/>
  <c r="U579" i="3"/>
  <c r="K579" i="3"/>
  <c r="E579" i="3"/>
  <c r="B579" i="3"/>
  <c r="U578" i="3"/>
  <c r="K578" i="3"/>
  <c r="E578" i="3"/>
  <c r="B578" i="3"/>
  <c r="U577" i="3"/>
  <c r="K577" i="3"/>
  <c r="E577" i="3"/>
  <c r="B577" i="3"/>
  <c r="U576" i="3"/>
  <c r="K576" i="3"/>
  <c r="E576" i="3"/>
  <c r="B576" i="3"/>
  <c r="U575" i="3"/>
  <c r="K575" i="3"/>
  <c r="E575" i="3"/>
  <c r="B575" i="3"/>
  <c r="U574" i="3"/>
  <c r="K574" i="3"/>
  <c r="E574" i="3"/>
  <c r="B574" i="3"/>
  <c r="U573" i="3"/>
  <c r="K573" i="3"/>
  <c r="E573" i="3"/>
  <c r="B573" i="3"/>
  <c r="U572" i="3"/>
  <c r="K572" i="3"/>
  <c r="E572" i="3"/>
  <c r="B572" i="3"/>
  <c r="U571" i="3"/>
  <c r="K571" i="3"/>
  <c r="E571" i="3"/>
  <c r="B571" i="3"/>
  <c r="U570" i="3"/>
  <c r="K570" i="3"/>
  <c r="E570" i="3"/>
  <c r="B570" i="3"/>
  <c r="U569" i="3"/>
  <c r="K569" i="3"/>
  <c r="E569" i="3"/>
  <c r="B569" i="3"/>
  <c r="U568" i="3"/>
  <c r="K568" i="3"/>
  <c r="E568" i="3"/>
  <c r="B568" i="3"/>
  <c r="U567" i="3"/>
  <c r="K567" i="3"/>
  <c r="E567" i="3"/>
  <c r="B567" i="3"/>
  <c r="U566" i="3"/>
  <c r="K566" i="3"/>
  <c r="E566" i="3"/>
  <c r="B566" i="3"/>
  <c r="U565" i="3"/>
  <c r="K565" i="3"/>
  <c r="E565" i="3"/>
  <c r="B565" i="3"/>
  <c r="U564" i="3"/>
  <c r="K564" i="3"/>
  <c r="E564" i="3"/>
  <c r="B564" i="3"/>
  <c r="U563" i="3"/>
  <c r="K563" i="3"/>
  <c r="E563" i="3"/>
  <c r="B563" i="3"/>
  <c r="U562" i="3"/>
  <c r="K562" i="3"/>
  <c r="E562" i="3"/>
  <c r="B562" i="3"/>
  <c r="U561" i="3"/>
  <c r="K561" i="3"/>
  <c r="H561" i="3"/>
  <c r="E561" i="3"/>
  <c r="B561" i="3"/>
  <c r="U560" i="3"/>
  <c r="K560" i="3"/>
  <c r="E560" i="3"/>
  <c r="B560" i="3"/>
  <c r="U559" i="3"/>
  <c r="K559" i="3"/>
  <c r="E559" i="3"/>
  <c r="B559" i="3"/>
  <c r="U558" i="3"/>
  <c r="K558" i="3"/>
  <c r="E558" i="3"/>
  <c r="B558" i="3"/>
  <c r="U557" i="3"/>
  <c r="K557" i="3"/>
  <c r="E557" i="3"/>
  <c r="B557" i="3"/>
  <c r="U556" i="3"/>
  <c r="K556" i="3"/>
  <c r="E556" i="3"/>
  <c r="B556" i="3"/>
  <c r="U555" i="3"/>
  <c r="K555" i="3"/>
  <c r="E555" i="3"/>
  <c r="B555" i="3"/>
  <c r="U554" i="3"/>
  <c r="K554" i="3"/>
  <c r="E554" i="3"/>
  <c r="B554" i="3"/>
  <c r="U553" i="3"/>
  <c r="K553" i="3"/>
  <c r="E553" i="3"/>
  <c r="B553" i="3"/>
  <c r="U552" i="3"/>
  <c r="K552" i="3"/>
  <c r="E552" i="3"/>
  <c r="B552" i="3"/>
  <c r="U551" i="3"/>
  <c r="K551" i="3"/>
  <c r="E551" i="3"/>
  <c r="B551" i="3"/>
  <c r="U550" i="3"/>
  <c r="K550" i="3"/>
  <c r="E550" i="3"/>
  <c r="B550" i="3"/>
  <c r="U549" i="3"/>
  <c r="K549" i="3"/>
  <c r="E549" i="3"/>
  <c r="B549" i="3"/>
  <c r="U548" i="3"/>
  <c r="K548" i="3"/>
  <c r="E548" i="3"/>
  <c r="B548" i="3"/>
  <c r="U547" i="3"/>
  <c r="K547" i="3"/>
  <c r="E547" i="3"/>
  <c r="B547" i="3"/>
  <c r="U546" i="3"/>
  <c r="K546" i="3"/>
  <c r="E546" i="3"/>
  <c r="B546" i="3"/>
  <c r="K545" i="3"/>
  <c r="E545" i="3"/>
  <c r="B545" i="3"/>
  <c r="U544" i="3"/>
  <c r="K544" i="3"/>
  <c r="E544" i="3"/>
  <c r="B544" i="3"/>
  <c r="U543" i="3"/>
  <c r="K543" i="3"/>
  <c r="E543" i="3"/>
  <c r="B543" i="3"/>
  <c r="U542" i="3"/>
  <c r="K542" i="3"/>
  <c r="E542" i="3"/>
  <c r="B542" i="3"/>
  <c r="U541" i="3"/>
  <c r="K541" i="3"/>
  <c r="E541" i="3"/>
  <c r="B541" i="3"/>
  <c r="U540" i="3"/>
  <c r="K540" i="3"/>
  <c r="E540" i="3"/>
  <c r="B540" i="3"/>
  <c r="U539" i="3"/>
  <c r="K539" i="3"/>
  <c r="E539" i="3"/>
  <c r="B539" i="3"/>
  <c r="U538" i="3"/>
  <c r="K538" i="3"/>
  <c r="E538" i="3"/>
  <c r="B538" i="3"/>
  <c r="U537" i="3"/>
  <c r="K537" i="3"/>
  <c r="E537" i="3"/>
  <c r="B537" i="3"/>
  <c r="U536" i="3"/>
  <c r="K536" i="3"/>
  <c r="E536" i="3"/>
  <c r="B536" i="3"/>
  <c r="U535" i="3"/>
  <c r="K535" i="3"/>
  <c r="E535" i="3"/>
  <c r="B535" i="3"/>
  <c r="U534" i="3"/>
  <c r="K534" i="3"/>
  <c r="E534" i="3"/>
  <c r="B534" i="3"/>
  <c r="U533" i="3"/>
  <c r="K533" i="3"/>
  <c r="E533" i="3"/>
  <c r="B533" i="3"/>
  <c r="K532" i="3"/>
  <c r="E532" i="3"/>
  <c r="B532" i="3"/>
  <c r="U531" i="3"/>
  <c r="K531" i="3"/>
  <c r="E531" i="3"/>
  <c r="B531" i="3"/>
  <c r="U530" i="3"/>
  <c r="K530" i="3"/>
  <c r="E530" i="3"/>
  <c r="B530" i="3"/>
  <c r="U529" i="3"/>
  <c r="K529" i="3"/>
  <c r="E529" i="3"/>
  <c r="B529" i="3"/>
  <c r="U528" i="3"/>
  <c r="K528" i="3"/>
  <c r="E528" i="3"/>
  <c r="B528" i="3"/>
  <c r="U527" i="3"/>
  <c r="K527" i="3"/>
  <c r="E527" i="3"/>
  <c r="B527" i="3"/>
  <c r="U526" i="3"/>
  <c r="K526" i="3"/>
  <c r="E526" i="3"/>
  <c r="B526" i="3"/>
  <c r="U525" i="3"/>
  <c r="K525" i="3"/>
  <c r="E525" i="3"/>
  <c r="B525" i="3"/>
  <c r="U524" i="3"/>
  <c r="K524" i="3"/>
  <c r="E524" i="3"/>
  <c r="B524" i="3"/>
  <c r="U523" i="3"/>
  <c r="K523" i="3"/>
  <c r="E523" i="3"/>
  <c r="B523" i="3"/>
  <c r="U522" i="3"/>
  <c r="K522" i="3"/>
  <c r="E522" i="3"/>
  <c r="B522" i="3"/>
  <c r="U521" i="3"/>
  <c r="K521" i="3"/>
  <c r="E521" i="3"/>
  <c r="B521" i="3"/>
  <c r="U520" i="3"/>
  <c r="K520" i="3"/>
  <c r="E520" i="3"/>
  <c r="B520" i="3"/>
  <c r="U519" i="3"/>
  <c r="K519" i="3"/>
  <c r="E519" i="3"/>
  <c r="B519" i="3"/>
  <c r="U518" i="3"/>
  <c r="K518" i="3"/>
  <c r="E518" i="3"/>
  <c r="B518" i="3"/>
  <c r="U517" i="3"/>
  <c r="K517" i="3"/>
  <c r="E517" i="3"/>
  <c r="B517" i="3"/>
  <c r="U516" i="3"/>
  <c r="K516" i="3"/>
  <c r="E516" i="3"/>
  <c r="B516" i="3"/>
  <c r="U515" i="3"/>
  <c r="K515" i="3"/>
  <c r="E515" i="3"/>
  <c r="B515" i="3"/>
  <c r="K514" i="3"/>
  <c r="E514" i="3"/>
  <c r="B514" i="3"/>
  <c r="U513" i="3"/>
  <c r="K513" i="3"/>
  <c r="E513" i="3"/>
  <c r="B513" i="3"/>
  <c r="U512" i="3"/>
  <c r="K512" i="3"/>
  <c r="E512" i="3"/>
  <c r="B512" i="3"/>
  <c r="U511" i="3"/>
  <c r="K511" i="3"/>
  <c r="E511" i="3"/>
  <c r="B511" i="3"/>
  <c r="U510" i="3"/>
  <c r="K510" i="3"/>
  <c r="E510" i="3"/>
  <c r="B510" i="3"/>
  <c r="U509" i="3"/>
  <c r="K509" i="3"/>
  <c r="E509" i="3"/>
  <c r="B509" i="3"/>
  <c r="U508" i="3"/>
  <c r="K508" i="3"/>
  <c r="E508" i="3"/>
  <c r="B508" i="3"/>
  <c r="U507" i="3"/>
  <c r="K507" i="3"/>
  <c r="E507" i="3"/>
  <c r="B507" i="3"/>
  <c r="U506" i="3"/>
  <c r="K506" i="3"/>
  <c r="E506" i="3"/>
  <c r="B506" i="3"/>
  <c r="U505" i="3"/>
  <c r="K505" i="3"/>
  <c r="E505" i="3"/>
  <c r="B505" i="3"/>
  <c r="U504" i="3"/>
  <c r="K504" i="3"/>
  <c r="E504" i="3"/>
  <c r="B504" i="3"/>
  <c r="U503" i="3"/>
  <c r="K503" i="3"/>
  <c r="E503" i="3"/>
  <c r="B503" i="3"/>
  <c r="U502" i="3"/>
  <c r="K502" i="3"/>
  <c r="E502" i="3"/>
  <c r="B502" i="3"/>
  <c r="U501" i="3"/>
  <c r="K501" i="3"/>
  <c r="E501" i="3"/>
  <c r="B501" i="3"/>
  <c r="U500" i="3"/>
  <c r="K500" i="3"/>
  <c r="E500" i="3"/>
  <c r="B500" i="3"/>
  <c r="U499" i="3"/>
  <c r="K499" i="3"/>
  <c r="E499" i="3"/>
  <c r="B499" i="3"/>
  <c r="U498" i="3"/>
  <c r="K498" i="3"/>
  <c r="E498" i="3"/>
  <c r="B498" i="3"/>
  <c r="U497" i="3"/>
  <c r="K497" i="3"/>
  <c r="E497" i="3"/>
  <c r="B497" i="3"/>
  <c r="K496" i="3"/>
  <c r="E496" i="3"/>
  <c r="B496" i="3"/>
  <c r="U495" i="3"/>
  <c r="K495" i="3"/>
  <c r="E495" i="3"/>
  <c r="B495" i="3"/>
  <c r="U494" i="3"/>
  <c r="K494" i="3"/>
  <c r="E494" i="3"/>
  <c r="B494" i="3"/>
  <c r="U493" i="3"/>
  <c r="K493" i="3"/>
  <c r="E493" i="3"/>
  <c r="B493" i="3"/>
  <c r="U492" i="3"/>
  <c r="K492" i="3"/>
  <c r="E492" i="3"/>
  <c r="B492" i="3"/>
  <c r="U491" i="3"/>
  <c r="K491" i="3"/>
  <c r="E491" i="3"/>
  <c r="B491" i="3"/>
  <c r="U490" i="3"/>
  <c r="K490" i="3"/>
  <c r="E490" i="3"/>
  <c r="B490" i="3"/>
  <c r="U489" i="3"/>
  <c r="K489" i="3"/>
  <c r="E489" i="3"/>
  <c r="B489" i="3"/>
  <c r="U488" i="3"/>
  <c r="K488" i="3"/>
  <c r="E488" i="3"/>
  <c r="B488" i="3"/>
  <c r="U487" i="3"/>
  <c r="K487" i="3"/>
  <c r="E487" i="3"/>
  <c r="B487" i="3"/>
  <c r="U486" i="3"/>
  <c r="K486" i="3"/>
  <c r="E486" i="3"/>
  <c r="B486" i="3"/>
  <c r="U485" i="3"/>
  <c r="K485" i="3"/>
  <c r="E485" i="3"/>
  <c r="B485" i="3"/>
  <c r="U484" i="3"/>
  <c r="K484" i="3"/>
  <c r="E484" i="3"/>
  <c r="B484" i="3"/>
  <c r="U483" i="3"/>
  <c r="K483" i="3"/>
  <c r="E483" i="3"/>
  <c r="B483" i="3"/>
  <c r="U482" i="3"/>
  <c r="K482" i="3"/>
  <c r="E482" i="3"/>
  <c r="B482" i="3"/>
  <c r="U481" i="3"/>
  <c r="K481" i="3"/>
  <c r="E481" i="3"/>
  <c r="B481" i="3"/>
  <c r="U480" i="3"/>
  <c r="K480" i="3"/>
  <c r="E480" i="3"/>
  <c r="B480" i="3"/>
  <c r="U479" i="3"/>
  <c r="K479" i="3"/>
  <c r="E479" i="3"/>
  <c r="B479" i="3"/>
  <c r="U478" i="3"/>
  <c r="K478" i="3"/>
  <c r="E478" i="3"/>
  <c r="B478" i="3"/>
  <c r="U477" i="3"/>
  <c r="K477" i="3"/>
  <c r="E477" i="3"/>
  <c r="B477" i="3"/>
  <c r="U476" i="3"/>
  <c r="K476" i="3"/>
  <c r="E476" i="3"/>
  <c r="B476" i="3"/>
  <c r="U475" i="3"/>
  <c r="K475" i="3"/>
  <c r="E475" i="3"/>
  <c r="B475" i="3"/>
  <c r="U474" i="3"/>
  <c r="K474" i="3"/>
  <c r="E474" i="3"/>
  <c r="B474" i="3"/>
  <c r="U473" i="3"/>
  <c r="K473" i="3"/>
  <c r="E473" i="3"/>
  <c r="B473" i="3"/>
  <c r="U472" i="3"/>
  <c r="K472" i="3"/>
  <c r="E472" i="3"/>
  <c r="B472" i="3"/>
  <c r="U471" i="3"/>
  <c r="K471" i="3"/>
  <c r="E471" i="3"/>
  <c r="B471" i="3"/>
  <c r="U470" i="3"/>
  <c r="K470" i="3"/>
  <c r="E470" i="3"/>
  <c r="B470" i="3"/>
  <c r="U469" i="3"/>
  <c r="K469" i="3"/>
  <c r="E469" i="3"/>
  <c r="B469" i="3"/>
  <c r="U468" i="3"/>
  <c r="K468" i="3"/>
  <c r="E468" i="3"/>
  <c r="B468" i="3"/>
  <c r="U467" i="3"/>
  <c r="K467" i="3"/>
  <c r="E467" i="3"/>
  <c r="B467" i="3"/>
  <c r="U466" i="3"/>
  <c r="K466" i="3"/>
  <c r="E466" i="3"/>
  <c r="B466" i="3"/>
  <c r="U465" i="3"/>
  <c r="K465" i="3"/>
  <c r="E465" i="3"/>
  <c r="B465" i="3"/>
  <c r="U464" i="3"/>
  <c r="K464" i="3"/>
  <c r="E464" i="3"/>
  <c r="B464" i="3"/>
  <c r="U463" i="3"/>
  <c r="K463" i="3"/>
  <c r="E463" i="3"/>
  <c r="B463" i="3"/>
  <c r="U462" i="3"/>
  <c r="K462" i="3"/>
  <c r="E462" i="3"/>
  <c r="B462" i="3"/>
  <c r="U461" i="3"/>
  <c r="K461" i="3"/>
  <c r="E461" i="3"/>
  <c r="B461" i="3"/>
  <c r="U460" i="3"/>
  <c r="K460" i="3"/>
  <c r="E460" i="3"/>
  <c r="B460" i="3"/>
  <c r="U459" i="3"/>
  <c r="K459" i="3"/>
  <c r="E459" i="3"/>
  <c r="B459" i="3"/>
  <c r="U458" i="3"/>
  <c r="K458" i="3"/>
  <c r="E458" i="3"/>
  <c r="B458" i="3"/>
  <c r="U457" i="3"/>
  <c r="K457" i="3"/>
  <c r="E457" i="3"/>
  <c r="B457" i="3"/>
  <c r="U456" i="3"/>
  <c r="K456" i="3"/>
  <c r="E456" i="3"/>
  <c r="B456" i="3"/>
  <c r="U455" i="3"/>
  <c r="K455" i="3"/>
  <c r="E455" i="3"/>
  <c r="B455" i="3"/>
  <c r="U454" i="3"/>
  <c r="K454" i="3"/>
  <c r="E454" i="3"/>
  <c r="B454" i="3"/>
  <c r="U453" i="3"/>
  <c r="K453" i="3"/>
  <c r="E453" i="3"/>
  <c r="B453" i="3"/>
  <c r="U452" i="3"/>
  <c r="K452" i="3"/>
  <c r="E452" i="3"/>
  <c r="B452" i="3"/>
  <c r="U451" i="3"/>
  <c r="K451" i="3"/>
  <c r="E451" i="3"/>
  <c r="B451" i="3"/>
  <c r="U450" i="3"/>
  <c r="K450" i="3"/>
  <c r="E450" i="3"/>
  <c r="B450" i="3"/>
  <c r="U449" i="3"/>
  <c r="K449" i="3"/>
  <c r="E449" i="3"/>
  <c r="B449" i="3"/>
  <c r="U448" i="3"/>
  <c r="K448" i="3"/>
  <c r="E448" i="3"/>
  <c r="B448" i="3"/>
  <c r="U447" i="3"/>
  <c r="K447" i="3"/>
  <c r="E447" i="3"/>
  <c r="B447" i="3"/>
  <c r="U446" i="3"/>
  <c r="K446" i="3"/>
  <c r="E446" i="3"/>
  <c r="B446" i="3"/>
  <c r="U445" i="3"/>
  <c r="K445" i="3"/>
  <c r="E445" i="3"/>
  <c r="B445" i="3"/>
  <c r="U444" i="3"/>
  <c r="K444" i="3"/>
  <c r="E444" i="3"/>
  <c r="B444" i="3"/>
  <c r="U443" i="3"/>
  <c r="K443" i="3"/>
  <c r="E443" i="3"/>
  <c r="B443" i="3"/>
  <c r="U442" i="3"/>
  <c r="K442" i="3"/>
  <c r="E442" i="3"/>
  <c r="B442" i="3"/>
  <c r="U441" i="3"/>
  <c r="K441" i="3"/>
  <c r="E441" i="3"/>
  <c r="B441" i="3"/>
  <c r="U440" i="3"/>
  <c r="K440" i="3"/>
  <c r="E440" i="3"/>
  <c r="B440" i="3"/>
  <c r="U439" i="3"/>
  <c r="K439" i="3"/>
  <c r="E439" i="3"/>
  <c r="B439" i="3"/>
  <c r="U438" i="3"/>
  <c r="K438" i="3"/>
  <c r="E438" i="3"/>
  <c r="B438" i="3"/>
  <c r="U437" i="3"/>
  <c r="K437" i="3"/>
  <c r="E437" i="3"/>
  <c r="B437" i="3"/>
  <c r="U436" i="3"/>
  <c r="K436" i="3"/>
  <c r="E436" i="3"/>
  <c r="B436" i="3"/>
  <c r="U435" i="3"/>
  <c r="K435" i="3"/>
  <c r="E435" i="3"/>
  <c r="B435" i="3"/>
  <c r="U434" i="3"/>
  <c r="K434" i="3"/>
  <c r="E434" i="3"/>
  <c r="B434" i="3"/>
  <c r="U433" i="3"/>
  <c r="K433" i="3"/>
  <c r="E433" i="3"/>
  <c r="B433" i="3"/>
  <c r="U432" i="3"/>
  <c r="K432" i="3"/>
  <c r="E432" i="3"/>
  <c r="B432" i="3"/>
  <c r="U431" i="3"/>
  <c r="K431" i="3"/>
  <c r="E431" i="3"/>
  <c r="B431" i="3"/>
  <c r="U430" i="3"/>
  <c r="K430" i="3"/>
  <c r="E430" i="3"/>
  <c r="B430" i="3"/>
  <c r="U429" i="3"/>
  <c r="K429" i="3"/>
  <c r="E429" i="3"/>
  <c r="B429" i="3"/>
  <c r="U428" i="3"/>
  <c r="K428" i="3"/>
  <c r="E428" i="3"/>
  <c r="B428" i="3"/>
  <c r="K427" i="3"/>
  <c r="E427" i="3"/>
  <c r="B427" i="3"/>
  <c r="U426" i="3"/>
  <c r="K426" i="3"/>
  <c r="E426" i="3"/>
  <c r="B426" i="3"/>
  <c r="U425" i="3"/>
  <c r="K425" i="3"/>
  <c r="E425" i="3"/>
  <c r="B425" i="3"/>
  <c r="U424" i="3"/>
  <c r="K424" i="3"/>
  <c r="E424" i="3"/>
  <c r="B424" i="3"/>
  <c r="U423" i="3"/>
  <c r="K423" i="3"/>
  <c r="E423" i="3"/>
  <c r="B423" i="3"/>
  <c r="U422" i="3"/>
  <c r="K422" i="3"/>
  <c r="E422" i="3"/>
  <c r="B422" i="3"/>
  <c r="U421" i="3"/>
  <c r="K421" i="3"/>
  <c r="E421" i="3"/>
  <c r="B421" i="3"/>
  <c r="U420" i="3"/>
  <c r="K420" i="3"/>
  <c r="E420" i="3"/>
  <c r="B420" i="3"/>
  <c r="U419" i="3"/>
  <c r="K419" i="3"/>
  <c r="E419" i="3"/>
  <c r="B419" i="3"/>
  <c r="K418" i="3"/>
  <c r="E418" i="3"/>
  <c r="B418" i="3"/>
  <c r="U417" i="3"/>
  <c r="K417" i="3"/>
  <c r="E417" i="3"/>
  <c r="B417" i="3"/>
  <c r="U416" i="3"/>
  <c r="K416" i="3"/>
  <c r="E416" i="3"/>
  <c r="B416" i="3"/>
  <c r="K415" i="3"/>
  <c r="E415" i="3"/>
  <c r="B415" i="3"/>
  <c r="U414" i="3"/>
  <c r="K414" i="3"/>
  <c r="E414" i="3"/>
  <c r="B414" i="3"/>
  <c r="U413" i="3"/>
  <c r="K413" i="3"/>
  <c r="E413" i="3"/>
  <c r="B413" i="3"/>
  <c r="U412" i="3"/>
  <c r="K412" i="3"/>
  <c r="E412" i="3"/>
  <c r="B412" i="3"/>
  <c r="U411" i="3"/>
  <c r="K411" i="3"/>
  <c r="E411" i="3"/>
  <c r="B411" i="3"/>
  <c r="U410" i="3"/>
  <c r="K410" i="3"/>
  <c r="E410" i="3"/>
  <c r="B410" i="3"/>
  <c r="U409" i="3"/>
  <c r="K409" i="3"/>
  <c r="E409" i="3"/>
  <c r="B409" i="3"/>
  <c r="U408" i="3"/>
  <c r="K408" i="3"/>
  <c r="E408" i="3"/>
  <c r="B408" i="3"/>
  <c r="U407" i="3"/>
  <c r="K407" i="3"/>
  <c r="E407" i="3"/>
  <c r="B407" i="3"/>
  <c r="U406" i="3"/>
  <c r="K406" i="3"/>
  <c r="E406" i="3"/>
  <c r="B406" i="3"/>
  <c r="U405" i="3"/>
  <c r="K405" i="3"/>
  <c r="E405" i="3"/>
  <c r="B405" i="3"/>
  <c r="U404" i="3"/>
  <c r="K404" i="3"/>
  <c r="E404" i="3"/>
  <c r="B404" i="3"/>
  <c r="U403" i="3"/>
  <c r="K403" i="3"/>
  <c r="E403" i="3"/>
  <c r="B403" i="3"/>
  <c r="U402" i="3"/>
  <c r="K402" i="3"/>
  <c r="E402" i="3"/>
  <c r="B402" i="3"/>
  <c r="U401" i="3"/>
  <c r="K401" i="3"/>
  <c r="E401" i="3"/>
  <c r="B401" i="3"/>
  <c r="U400" i="3"/>
  <c r="K400" i="3"/>
  <c r="E400" i="3"/>
  <c r="B400" i="3"/>
  <c r="U399" i="3"/>
  <c r="K399" i="3"/>
  <c r="E399" i="3"/>
  <c r="B399" i="3"/>
  <c r="U398" i="3"/>
  <c r="K398" i="3"/>
  <c r="E398" i="3"/>
  <c r="B398" i="3"/>
  <c r="U397" i="3"/>
  <c r="K397" i="3"/>
  <c r="E397" i="3"/>
  <c r="B397" i="3"/>
  <c r="U396" i="3"/>
  <c r="K396" i="3"/>
  <c r="E396" i="3"/>
  <c r="B396" i="3"/>
  <c r="U395" i="3"/>
  <c r="K395" i="3"/>
  <c r="E395" i="3"/>
  <c r="B395" i="3"/>
  <c r="U394" i="3"/>
  <c r="K394" i="3"/>
  <c r="E394" i="3"/>
  <c r="B394" i="3"/>
  <c r="U393" i="3"/>
  <c r="K393" i="3"/>
  <c r="E393" i="3"/>
  <c r="B393" i="3"/>
  <c r="U392" i="3"/>
  <c r="K392" i="3"/>
  <c r="E392" i="3"/>
  <c r="B392" i="3"/>
  <c r="U391" i="3"/>
  <c r="K391" i="3"/>
  <c r="E391" i="3"/>
  <c r="B391" i="3"/>
  <c r="U390" i="3"/>
  <c r="K390" i="3"/>
  <c r="E390" i="3"/>
  <c r="B390" i="3"/>
  <c r="U389" i="3"/>
  <c r="K389" i="3"/>
  <c r="E389" i="3"/>
  <c r="B389" i="3"/>
  <c r="U388" i="3"/>
  <c r="K388" i="3"/>
  <c r="E388" i="3"/>
  <c r="B388" i="3"/>
  <c r="U387" i="3"/>
  <c r="K387" i="3"/>
  <c r="E387" i="3"/>
  <c r="B387" i="3"/>
  <c r="U386" i="3"/>
  <c r="K386" i="3"/>
  <c r="E386" i="3"/>
  <c r="B386" i="3"/>
  <c r="U385" i="3"/>
  <c r="K385" i="3"/>
  <c r="E385" i="3"/>
  <c r="B385" i="3"/>
  <c r="U384" i="3"/>
  <c r="K384" i="3"/>
  <c r="E384" i="3"/>
  <c r="B384" i="3"/>
  <c r="U383" i="3"/>
  <c r="K383" i="3"/>
  <c r="E383" i="3"/>
  <c r="B383" i="3"/>
  <c r="U382" i="3"/>
  <c r="K382" i="3"/>
  <c r="E382" i="3"/>
  <c r="B382" i="3"/>
  <c r="U381" i="3"/>
  <c r="K381" i="3"/>
  <c r="E381" i="3"/>
  <c r="B381" i="3"/>
  <c r="U380" i="3"/>
  <c r="K380" i="3"/>
  <c r="E380" i="3"/>
  <c r="B380" i="3"/>
  <c r="U379" i="3"/>
  <c r="K379" i="3"/>
  <c r="E379" i="3"/>
  <c r="B379" i="3"/>
  <c r="U378" i="3"/>
  <c r="K378" i="3"/>
  <c r="E378" i="3"/>
  <c r="B378" i="3"/>
  <c r="U377" i="3"/>
  <c r="K377" i="3"/>
  <c r="E377" i="3"/>
  <c r="B377" i="3"/>
  <c r="U376" i="3"/>
  <c r="K376" i="3"/>
  <c r="E376" i="3"/>
  <c r="B376" i="3"/>
  <c r="U375" i="3"/>
  <c r="K375" i="3"/>
  <c r="E375" i="3"/>
  <c r="B375" i="3"/>
  <c r="U374" i="3"/>
  <c r="K374" i="3"/>
  <c r="E374" i="3"/>
  <c r="B374" i="3"/>
  <c r="U373" i="3"/>
  <c r="K373" i="3"/>
  <c r="E373" i="3"/>
  <c r="B373" i="3"/>
  <c r="U372" i="3"/>
  <c r="K372" i="3"/>
  <c r="E372" i="3"/>
  <c r="B372" i="3"/>
  <c r="U371" i="3"/>
  <c r="K371" i="3"/>
  <c r="E371" i="3"/>
  <c r="B371" i="3"/>
  <c r="U370" i="3"/>
  <c r="K370" i="3"/>
  <c r="E370" i="3"/>
  <c r="B370" i="3"/>
  <c r="U369" i="3"/>
  <c r="K369" i="3"/>
  <c r="E369" i="3"/>
  <c r="B369" i="3"/>
  <c r="U368" i="3"/>
  <c r="K368" i="3"/>
  <c r="E368" i="3"/>
  <c r="B368" i="3"/>
  <c r="U367" i="3"/>
  <c r="K367" i="3"/>
  <c r="E367" i="3"/>
  <c r="B367" i="3"/>
  <c r="U366" i="3"/>
  <c r="K366" i="3"/>
  <c r="E366" i="3"/>
  <c r="B366" i="3"/>
  <c r="U365" i="3"/>
  <c r="K365" i="3"/>
  <c r="E365" i="3"/>
  <c r="B365" i="3"/>
  <c r="U364" i="3"/>
  <c r="K364" i="3"/>
  <c r="E364" i="3"/>
  <c r="B364" i="3"/>
  <c r="U363" i="3"/>
  <c r="K363" i="3"/>
  <c r="E363" i="3"/>
  <c r="B363" i="3"/>
  <c r="U362" i="3"/>
  <c r="K362" i="3"/>
  <c r="E362" i="3"/>
  <c r="B362" i="3"/>
  <c r="U361" i="3"/>
  <c r="K361" i="3"/>
  <c r="E361" i="3"/>
  <c r="B361" i="3"/>
  <c r="U360" i="3"/>
  <c r="K360" i="3"/>
  <c r="E360" i="3"/>
  <c r="B360" i="3"/>
  <c r="U359" i="3"/>
  <c r="K359" i="3"/>
  <c r="E359" i="3"/>
  <c r="B359" i="3"/>
  <c r="U358" i="3"/>
  <c r="K358" i="3"/>
  <c r="E358" i="3"/>
  <c r="B358" i="3"/>
  <c r="U357" i="3"/>
  <c r="K357" i="3"/>
  <c r="E357" i="3"/>
  <c r="B357" i="3"/>
  <c r="U356" i="3"/>
  <c r="K356" i="3"/>
  <c r="E356" i="3"/>
  <c r="B356" i="3"/>
  <c r="U355" i="3"/>
  <c r="K355" i="3"/>
  <c r="E355" i="3"/>
  <c r="B355" i="3"/>
  <c r="U354" i="3"/>
  <c r="K354" i="3"/>
  <c r="E354" i="3"/>
  <c r="B354" i="3"/>
  <c r="U353" i="3"/>
  <c r="K353" i="3"/>
  <c r="E353" i="3"/>
  <c r="B353" i="3"/>
  <c r="U352" i="3"/>
  <c r="K352" i="3"/>
  <c r="E352" i="3"/>
  <c r="B352" i="3"/>
  <c r="U351" i="3"/>
  <c r="K351" i="3"/>
  <c r="E351" i="3"/>
  <c r="B351" i="3"/>
  <c r="U350" i="3"/>
  <c r="K350" i="3"/>
  <c r="E350" i="3"/>
  <c r="B350" i="3"/>
  <c r="U349" i="3"/>
  <c r="K349" i="3"/>
  <c r="E349" i="3"/>
  <c r="B349" i="3"/>
  <c r="U348" i="3"/>
  <c r="K348" i="3"/>
  <c r="E348" i="3"/>
  <c r="B348" i="3"/>
  <c r="U347" i="3"/>
  <c r="K347" i="3"/>
  <c r="E347" i="3"/>
  <c r="B347" i="3"/>
  <c r="U346" i="3"/>
  <c r="K346" i="3"/>
  <c r="E346" i="3"/>
  <c r="B346" i="3"/>
  <c r="U345" i="3"/>
  <c r="K345" i="3"/>
  <c r="E345" i="3"/>
  <c r="B345" i="3"/>
  <c r="U344" i="3"/>
  <c r="K344" i="3"/>
  <c r="E344" i="3"/>
  <c r="B344" i="3"/>
  <c r="U343" i="3"/>
  <c r="K343" i="3"/>
  <c r="E343" i="3"/>
  <c r="B343" i="3"/>
  <c r="K342" i="3"/>
  <c r="E342" i="3"/>
  <c r="B342" i="3"/>
  <c r="U341" i="3"/>
  <c r="K341" i="3"/>
  <c r="E341" i="3"/>
  <c r="B341" i="3"/>
  <c r="U340" i="3"/>
  <c r="K340" i="3"/>
  <c r="E340" i="3"/>
  <c r="B340" i="3"/>
  <c r="U339" i="3"/>
  <c r="K339" i="3"/>
  <c r="E339" i="3"/>
  <c r="B339" i="3"/>
  <c r="U338" i="3"/>
  <c r="K338" i="3"/>
  <c r="E338" i="3"/>
  <c r="B338" i="3"/>
  <c r="U337" i="3"/>
  <c r="K337" i="3"/>
  <c r="E337" i="3"/>
  <c r="B337" i="3"/>
  <c r="U336" i="3"/>
  <c r="K336" i="3"/>
  <c r="E336" i="3"/>
  <c r="B336" i="3"/>
  <c r="U335" i="3"/>
  <c r="K335" i="3"/>
  <c r="E335" i="3"/>
  <c r="B335" i="3"/>
  <c r="U334" i="3"/>
  <c r="K334" i="3"/>
  <c r="E334" i="3"/>
  <c r="B334" i="3"/>
  <c r="U333" i="3"/>
  <c r="K333" i="3"/>
  <c r="E333" i="3"/>
  <c r="B333" i="3"/>
  <c r="U332" i="3"/>
  <c r="K332" i="3"/>
  <c r="E332" i="3"/>
  <c r="B332" i="3"/>
  <c r="U331" i="3"/>
  <c r="K331" i="3"/>
  <c r="E331" i="3"/>
  <c r="B331" i="3"/>
  <c r="U330" i="3"/>
  <c r="K330" i="3"/>
  <c r="E330" i="3"/>
  <c r="B330" i="3"/>
  <c r="U329" i="3"/>
  <c r="K329" i="3"/>
  <c r="E329" i="3"/>
  <c r="B329" i="3"/>
  <c r="U328" i="3"/>
  <c r="K328" i="3"/>
  <c r="E328" i="3"/>
  <c r="B328" i="3"/>
  <c r="U327" i="3"/>
  <c r="K327" i="3"/>
  <c r="E327" i="3"/>
  <c r="B327" i="3"/>
  <c r="U326" i="3"/>
  <c r="K326" i="3"/>
  <c r="E326" i="3"/>
  <c r="B326" i="3"/>
  <c r="U325" i="3"/>
  <c r="K325" i="3"/>
  <c r="E325" i="3"/>
  <c r="B325" i="3"/>
  <c r="U324" i="3"/>
  <c r="K324" i="3"/>
  <c r="E324" i="3"/>
  <c r="B324" i="3"/>
  <c r="U323" i="3"/>
  <c r="K323" i="3"/>
  <c r="E323" i="3"/>
  <c r="B323" i="3"/>
  <c r="U322" i="3"/>
  <c r="K322" i="3"/>
  <c r="E322" i="3"/>
  <c r="B322" i="3"/>
  <c r="U321" i="3"/>
  <c r="K321" i="3"/>
  <c r="E321" i="3"/>
  <c r="B321" i="3"/>
  <c r="U320" i="3"/>
  <c r="K320" i="3"/>
  <c r="E320" i="3"/>
  <c r="B320" i="3"/>
  <c r="U319" i="3"/>
  <c r="K319" i="3"/>
  <c r="E319" i="3"/>
  <c r="B319" i="3"/>
  <c r="U318" i="3"/>
  <c r="K318" i="3"/>
  <c r="E318" i="3"/>
  <c r="B318" i="3"/>
  <c r="U317" i="3"/>
  <c r="K317" i="3"/>
  <c r="E317" i="3"/>
  <c r="B317" i="3"/>
  <c r="U316" i="3"/>
  <c r="K316" i="3"/>
  <c r="E316" i="3"/>
  <c r="B316" i="3"/>
  <c r="U315" i="3"/>
  <c r="K315" i="3"/>
  <c r="E315" i="3"/>
  <c r="B315" i="3"/>
  <c r="U314" i="3"/>
  <c r="K314" i="3"/>
  <c r="E314" i="3"/>
  <c r="B314" i="3"/>
  <c r="U313" i="3"/>
  <c r="K313" i="3"/>
  <c r="E313" i="3"/>
  <c r="B313" i="3"/>
  <c r="U312" i="3"/>
  <c r="K312" i="3"/>
  <c r="E312" i="3"/>
  <c r="B312" i="3"/>
  <c r="U311" i="3"/>
  <c r="K311" i="3"/>
  <c r="E311" i="3"/>
  <c r="B311" i="3"/>
  <c r="U310" i="3"/>
  <c r="K310" i="3"/>
  <c r="E310" i="3"/>
  <c r="B310" i="3"/>
  <c r="U309" i="3"/>
  <c r="K309" i="3"/>
  <c r="E309" i="3"/>
  <c r="B309" i="3"/>
  <c r="U308" i="3"/>
  <c r="K308" i="3"/>
  <c r="E308" i="3"/>
  <c r="B308" i="3"/>
  <c r="U307" i="3"/>
  <c r="K307" i="3"/>
  <c r="E307" i="3"/>
  <c r="B307" i="3"/>
  <c r="U306" i="3"/>
  <c r="K306" i="3"/>
  <c r="E306" i="3"/>
  <c r="B306" i="3"/>
  <c r="U305" i="3"/>
  <c r="K305" i="3"/>
  <c r="E305" i="3"/>
  <c r="B305" i="3"/>
  <c r="U304" i="3"/>
  <c r="K304" i="3"/>
  <c r="E304" i="3"/>
  <c r="B304" i="3"/>
  <c r="U303" i="3"/>
  <c r="K303" i="3"/>
  <c r="E303" i="3"/>
  <c r="B303" i="3"/>
  <c r="U302" i="3"/>
  <c r="K302" i="3"/>
  <c r="E302" i="3"/>
  <c r="B302" i="3"/>
  <c r="U301" i="3"/>
  <c r="K301" i="3"/>
  <c r="E301" i="3"/>
  <c r="B301" i="3"/>
  <c r="U300" i="3"/>
  <c r="K300" i="3"/>
  <c r="E300" i="3"/>
  <c r="B300" i="3"/>
  <c r="K299" i="3"/>
  <c r="E299" i="3"/>
  <c r="B299" i="3"/>
  <c r="U298" i="3"/>
  <c r="K298" i="3"/>
  <c r="E298" i="3"/>
  <c r="B298" i="3"/>
  <c r="U297" i="3"/>
  <c r="K297" i="3"/>
  <c r="E297" i="3"/>
  <c r="B297" i="3"/>
  <c r="U296" i="3"/>
  <c r="K296" i="3"/>
  <c r="E296" i="3"/>
  <c r="B296" i="3"/>
  <c r="U295" i="3"/>
  <c r="K295" i="3"/>
  <c r="E295" i="3"/>
  <c r="B295" i="3"/>
  <c r="U294" i="3"/>
  <c r="K294" i="3"/>
  <c r="E294" i="3"/>
  <c r="B294" i="3"/>
  <c r="U293" i="3"/>
  <c r="K293" i="3"/>
  <c r="E293" i="3"/>
  <c r="B293" i="3"/>
  <c r="U292" i="3"/>
  <c r="K292" i="3"/>
  <c r="E292" i="3"/>
  <c r="B292" i="3"/>
  <c r="U291" i="3"/>
  <c r="K291" i="3"/>
  <c r="E291" i="3"/>
  <c r="B291" i="3"/>
  <c r="U290" i="3"/>
  <c r="K290" i="3"/>
  <c r="E290" i="3"/>
  <c r="B290" i="3"/>
  <c r="U289" i="3"/>
  <c r="K289" i="3"/>
  <c r="E289" i="3"/>
  <c r="B289" i="3"/>
  <c r="U288" i="3"/>
  <c r="K288" i="3"/>
  <c r="E288" i="3"/>
  <c r="B288" i="3"/>
  <c r="U287" i="3"/>
  <c r="K287" i="3"/>
  <c r="E287" i="3"/>
  <c r="B287" i="3"/>
  <c r="U286" i="3"/>
  <c r="K286" i="3"/>
  <c r="E286" i="3"/>
  <c r="B286" i="3"/>
  <c r="U285" i="3"/>
  <c r="K285" i="3"/>
  <c r="E285" i="3"/>
  <c r="B285" i="3"/>
  <c r="U284" i="3"/>
  <c r="K284" i="3"/>
  <c r="E284" i="3"/>
  <c r="B284" i="3"/>
  <c r="U283" i="3"/>
  <c r="K283" i="3"/>
  <c r="E283" i="3"/>
  <c r="B283" i="3"/>
  <c r="U282" i="3"/>
  <c r="K282" i="3"/>
  <c r="E282" i="3"/>
  <c r="B282" i="3"/>
  <c r="U281" i="3"/>
  <c r="K281" i="3"/>
  <c r="E281" i="3"/>
  <c r="B281" i="3"/>
  <c r="U280" i="3"/>
  <c r="K280" i="3"/>
  <c r="E280" i="3"/>
  <c r="B280" i="3"/>
  <c r="U279" i="3"/>
  <c r="K279" i="3"/>
  <c r="E279" i="3"/>
  <c r="B279" i="3"/>
  <c r="U278" i="3"/>
  <c r="K278" i="3"/>
  <c r="E278" i="3"/>
  <c r="B278" i="3"/>
  <c r="U277" i="3"/>
  <c r="K277" i="3"/>
  <c r="E277" i="3"/>
  <c r="B277" i="3"/>
  <c r="U276" i="3"/>
  <c r="K276" i="3"/>
  <c r="E276" i="3"/>
  <c r="B276" i="3"/>
  <c r="U275" i="3"/>
  <c r="K275" i="3"/>
  <c r="E275" i="3"/>
  <c r="B275" i="3"/>
  <c r="U274" i="3"/>
  <c r="K274" i="3"/>
  <c r="E274" i="3"/>
  <c r="B274" i="3"/>
  <c r="U273" i="3"/>
  <c r="K273" i="3"/>
  <c r="E273" i="3"/>
  <c r="B273" i="3"/>
  <c r="U272" i="3"/>
  <c r="K272" i="3"/>
  <c r="E272" i="3"/>
  <c r="B272" i="3"/>
  <c r="U271" i="3"/>
  <c r="K271" i="3"/>
  <c r="E271" i="3"/>
  <c r="B271" i="3"/>
  <c r="U270" i="3"/>
  <c r="K270" i="3"/>
  <c r="E270" i="3"/>
  <c r="B270" i="3"/>
  <c r="U269" i="3"/>
  <c r="K269" i="3"/>
  <c r="E269" i="3"/>
  <c r="B269" i="3"/>
  <c r="U268" i="3"/>
  <c r="K268" i="3"/>
  <c r="E268" i="3"/>
  <c r="B268" i="3"/>
  <c r="U267" i="3"/>
  <c r="K267" i="3"/>
  <c r="E267" i="3"/>
  <c r="B267" i="3"/>
  <c r="U266" i="3"/>
  <c r="K266" i="3"/>
  <c r="E266" i="3"/>
  <c r="B266" i="3"/>
  <c r="U265" i="3"/>
  <c r="K265" i="3"/>
  <c r="E265" i="3"/>
  <c r="B265" i="3"/>
  <c r="U264" i="3"/>
  <c r="K264" i="3"/>
  <c r="E264" i="3"/>
  <c r="B264" i="3"/>
  <c r="U263" i="3"/>
  <c r="K263" i="3"/>
  <c r="E263" i="3"/>
  <c r="B263" i="3"/>
  <c r="U262" i="3"/>
  <c r="K262" i="3"/>
  <c r="E262" i="3"/>
  <c r="B262" i="3"/>
  <c r="U261" i="3"/>
  <c r="K261" i="3"/>
  <c r="E261" i="3"/>
  <c r="B261" i="3"/>
  <c r="U260" i="3"/>
  <c r="K260" i="3"/>
  <c r="E260" i="3"/>
  <c r="B260" i="3"/>
  <c r="U259" i="3"/>
  <c r="K259" i="3"/>
  <c r="E259" i="3"/>
  <c r="B259" i="3"/>
  <c r="U258" i="3"/>
  <c r="K258" i="3"/>
  <c r="E258" i="3"/>
  <c r="B258" i="3"/>
  <c r="U257" i="3"/>
  <c r="K257" i="3"/>
  <c r="E257" i="3"/>
  <c r="B257" i="3"/>
  <c r="U256" i="3"/>
  <c r="K256" i="3"/>
  <c r="E256" i="3"/>
  <c r="B256" i="3"/>
  <c r="U255" i="3"/>
  <c r="K255" i="3"/>
  <c r="E255" i="3"/>
  <c r="B255" i="3"/>
  <c r="U254" i="3"/>
  <c r="K254" i="3"/>
  <c r="E254" i="3"/>
  <c r="B254" i="3"/>
  <c r="U253" i="3"/>
  <c r="K253" i="3"/>
  <c r="E253" i="3"/>
  <c r="B253" i="3"/>
  <c r="U252" i="3"/>
  <c r="K252" i="3"/>
  <c r="E252" i="3"/>
  <c r="B252" i="3"/>
  <c r="U251" i="3"/>
  <c r="K251" i="3"/>
  <c r="E251" i="3"/>
  <c r="B251" i="3"/>
  <c r="U250" i="3"/>
  <c r="K250" i="3"/>
  <c r="E250" i="3"/>
  <c r="B250" i="3"/>
  <c r="U249" i="3"/>
  <c r="K249" i="3"/>
  <c r="E249" i="3"/>
  <c r="B249" i="3"/>
  <c r="U248" i="3"/>
  <c r="K248" i="3"/>
  <c r="E248" i="3"/>
  <c r="B248" i="3"/>
  <c r="U247" i="3"/>
  <c r="K247" i="3"/>
  <c r="E247" i="3"/>
  <c r="B247" i="3"/>
  <c r="U246" i="3"/>
  <c r="K246" i="3"/>
  <c r="E246" i="3"/>
  <c r="B246" i="3"/>
  <c r="U245" i="3"/>
  <c r="K245" i="3"/>
  <c r="E245" i="3"/>
  <c r="B245" i="3"/>
  <c r="U244" i="3"/>
  <c r="K244" i="3"/>
  <c r="E244" i="3"/>
  <c r="B244" i="3"/>
  <c r="U243" i="3"/>
  <c r="K243" i="3"/>
  <c r="E243" i="3"/>
  <c r="B243" i="3"/>
  <c r="U242" i="3"/>
  <c r="K242" i="3"/>
  <c r="E242" i="3"/>
  <c r="B242" i="3"/>
  <c r="U241" i="3"/>
  <c r="K241" i="3"/>
  <c r="E241" i="3"/>
  <c r="B241" i="3"/>
  <c r="U240" i="3"/>
  <c r="K240" i="3"/>
  <c r="E240" i="3"/>
  <c r="B240" i="3"/>
  <c r="U239" i="3"/>
  <c r="K239" i="3"/>
  <c r="E239" i="3"/>
  <c r="B239" i="3"/>
  <c r="U238" i="3"/>
  <c r="K238" i="3"/>
  <c r="E238" i="3"/>
  <c r="B238" i="3"/>
  <c r="U237" i="3"/>
  <c r="K237" i="3"/>
  <c r="E237" i="3"/>
  <c r="B237" i="3"/>
  <c r="U236" i="3"/>
  <c r="K236" i="3"/>
  <c r="E236" i="3"/>
  <c r="B236" i="3"/>
  <c r="U235" i="3"/>
  <c r="K235" i="3"/>
  <c r="E235" i="3"/>
  <c r="B235" i="3"/>
  <c r="U234" i="3"/>
  <c r="K234" i="3"/>
  <c r="E234" i="3"/>
  <c r="B234" i="3"/>
  <c r="U233" i="3"/>
  <c r="K233" i="3"/>
  <c r="E233" i="3"/>
  <c r="B233" i="3"/>
  <c r="U232" i="3"/>
  <c r="K232" i="3"/>
  <c r="E232" i="3"/>
  <c r="B232" i="3"/>
  <c r="U231" i="3"/>
  <c r="K231" i="3"/>
  <c r="E231" i="3"/>
  <c r="B231" i="3"/>
  <c r="U230" i="3"/>
  <c r="K230" i="3"/>
  <c r="E230" i="3"/>
  <c r="B230" i="3"/>
  <c r="U229" i="3"/>
  <c r="K229" i="3"/>
  <c r="E229" i="3"/>
  <c r="B229" i="3"/>
  <c r="U228" i="3"/>
  <c r="K228" i="3"/>
  <c r="E228" i="3"/>
  <c r="B228" i="3"/>
  <c r="U227" i="3"/>
  <c r="K227" i="3"/>
  <c r="E227" i="3"/>
  <c r="B227" i="3"/>
  <c r="U226" i="3"/>
  <c r="K226" i="3"/>
  <c r="E226" i="3"/>
  <c r="B226" i="3"/>
  <c r="U225" i="3"/>
  <c r="K225" i="3"/>
  <c r="E225" i="3"/>
  <c r="B225" i="3"/>
  <c r="U224" i="3"/>
  <c r="K224" i="3"/>
  <c r="E224" i="3"/>
  <c r="B224" i="3"/>
  <c r="U223" i="3"/>
  <c r="K223" i="3"/>
  <c r="E223" i="3"/>
  <c r="B223" i="3"/>
  <c r="U222" i="3"/>
  <c r="K222" i="3"/>
  <c r="E222" i="3"/>
  <c r="B222" i="3"/>
  <c r="U221" i="3"/>
  <c r="K221" i="3"/>
  <c r="E221" i="3"/>
  <c r="B221" i="3"/>
  <c r="U220" i="3"/>
  <c r="K220" i="3"/>
  <c r="E220" i="3"/>
  <c r="B220" i="3"/>
  <c r="U219" i="3"/>
  <c r="K219" i="3"/>
  <c r="E219" i="3"/>
  <c r="B219" i="3"/>
  <c r="U218" i="3"/>
  <c r="K218" i="3"/>
  <c r="E218" i="3"/>
  <c r="B218" i="3"/>
  <c r="U217" i="3"/>
  <c r="K217" i="3"/>
  <c r="E217" i="3"/>
  <c r="B217" i="3"/>
  <c r="U216" i="3"/>
  <c r="K216" i="3"/>
  <c r="E216" i="3"/>
  <c r="B216" i="3"/>
  <c r="U215" i="3"/>
  <c r="K215" i="3"/>
  <c r="E215" i="3"/>
  <c r="B215" i="3"/>
  <c r="U214" i="3"/>
  <c r="K214" i="3"/>
  <c r="E214" i="3"/>
  <c r="B214" i="3"/>
  <c r="U213" i="3"/>
  <c r="K213" i="3"/>
  <c r="E213" i="3"/>
  <c r="B213" i="3"/>
  <c r="U212" i="3"/>
  <c r="K212" i="3"/>
  <c r="E212" i="3"/>
  <c r="B212" i="3"/>
  <c r="U211" i="3"/>
  <c r="K211" i="3"/>
  <c r="E211" i="3"/>
  <c r="B211" i="3"/>
  <c r="U210" i="3"/>
  <c r="K210" i="3"/>
  <c r="E210" i="3"/>
  <c r="B210" i="3"/>
  <c r="K209" i="3"/>
  <c r="E209" i="3"/>
  <c r="B209" i="3"/>
  <c r="U208" i="3"/>
  <c r="K208" i="3"/>
  <c r="E208" i="3"/>
  <c r="B208" i="3"/>
  <c r="U207" i="3"/>
  <c r="K207" i="3"/>
  <c r="E207" i="3"/>
  <c r="B207" i="3"/>
  <c r="U206" i="3"/>
  <c r="K206" i="3"/>
  <c r="E206" i="3"/>
  <c r="B206" i="3"/>
  <c r="U205" i="3"/>
  <c r="K205" i="3"/>
  <c r="E205" i="3"/>
  <c r="B205" i="3"/>
  <c r="U204" i="3"/>
  <c r="K204" i="3"/>
  <c r="E204" i="3"/>
  <c r="B204" i="3"/>
  <c r="U203" i="3"/>
  <c r="K203" i="3"/>
  <c r="E203" i="3"/>
  <c r="B203" i="3"/>
  <c r="U202" i="3"/>
  <c r="K202" i="3"/>
  <c r="E202" i="3"/>
  <c r="B202" i="3"/>
  <c r="U201" i="3"/>
  <c r="K201" i="3"/>
  <c r="E201" i="3"/>
  <c r="B201" i="3"/>
  <c r="K200" i="3"/>
  <c r="E200" i="3"/>
  <c r="B200" i="3"/>
  <c r="U199" i="3"/>
  <c r="K199" i="3"/>
  <c r="E199" i="3"/>
  <c r="B199" i="3"/>
  <c r="K198" i="3"/>
  <c r="E198" i="3"/>
  <c r="B198" i="3"/>
  <c r="U197" i="3"/>
  <c r="K197" i="3"/>
  <c r="E197" i="3"/>
  <c r="B197" i="3"/>
  <c r="U196" i="3"/>
  <c r="K196" i="3"/>
  <c r="E196" i="3"/>
  <c r="B196" i="3"/>
  <c r="U195" i="3"/>
  <c r="K195" i="3"/>
  <c r="E195" i="3"/>
  <c r="B195" i="3"/>
  <c r="U194" i="3"/>
  <c r="K194" i="3"/>
  <c r="E194" i="3"/>
  <c r="B194" i="3"/>
  <c r="U193" i="3"/>
  <c r="K193" i="3"/>
  <c r="E193" i="3"/>
  <c r="B193" i="3"/>
  <c r="K192" i="3"/>
  <c r="E192" i="3"/>
  <c r="B192" i="3"/>
  <c r="U191" i="3"/>
  <c r="K191" i="3"/>
  <c r="E191" i="3"/>
  <c r="B191" i="3"/>
  <c r="U190" i="3"/>
  <c r="K190" i="3"/>
  <c r="E190" i="3"/>
  <c r="B190" i="3"/>
  <c r="U189" i="3"/>
  <c r="K189" i="3"/>
  <c r="E189" i="3"/>
  <c r="B189" i="3"/>
  <c r="U188" i="3"/>
  <c r="K188" i="3"/>
  <c r="E188" i="3"/>
  <c r="B188" i="3"/>
  <c r="U187" i="3"/>
  <c r="K187" i="3"/>
  <c r="E187" i="3"/>
  <c r="B187" i="3"/>
  <c r="U186" i="3"/>
  <c r="K186" i="3"/>
  <c r="E186" i="3"/>
  <c r="B186" i="3"/>
  <c r="U185" i="3"/>
  <c r="K185" i="3"/>
  <c r="E185" i="3"/>
  <c r="B185" i="3"/>
  <c r="U184" i="3"/>
  <c r="K184" i="3"/>
  <c r="E184" i="3"/>
  <c r="B184" i="3"/>
  <c r="U183" i="3"/>
  <c r="K183" i="3"/>
  <c r="E183" i="3"/>
  <c r="B183" i="3"/>
  <c r="K182" i="3"/>
  <c r="E182" i="3"/>
  <c r="B182" i="3"/>
  <c r="U181" i="3"/>
  <c r="K181" i="3"/>
  <c r="E181" i="3"/>
  <c r="B181" i="3"/>
  <c r="U180" i="3"/>
  <c r="K180" i="3"/>
  <c r="E180" i="3"/>
  <c r="B180" i="3"/>
  <c r="U179" i="3"/>
  <c r="K179" i="3"/>
  <c r="E179" i="3"/>
  <c r="B179" i="3"/>
  <c r="U178" i="3"/>
  <c r="K178" i="3"/>
  <c r="E178" i="3"/>
  <c r="B178" i="3"/>
  <c r="U177" i="3"/>
  <c r="K177" i="3"/>
  <c r="E177" i="3"/>
  <c r="B177" i="3"/>
  <c r="U176" i="3"/>
  <c r="K176" i="3"/>
  <c r="E176" i="3"/>
  <c r="B176" i="3"/>
  <c r="U175" i="3"/>
  <c r="K175" i="3"/>
  <c r="E175" i="3"/>
  <c r="B175" i="3"/>
  <c r="U174" i="3"/>
  <c r="K174" i="3"/>
  <c r="E174" i="3"/>
  <c r="B174" i="3"/>
  <c r="U173" i="3"/>
  <c r="K173" i="3"/>
  <c r="E173" i="3"/>
  <c r="B173" i="3"/>
  <c r="U172" i="3"/>
  <c r="K172" i="3"/>
  <c r="E172" i="3"/>
  <c r="B172" i="3"/>
  <c r="U171" i="3"/>
  <c r="K171" i="3"/>
  <c r="E171" i="3"/>
  <c r="B171" i="3"/>
  <c r="U170" i="3"/>
  <c r="K170" i="3"/>
  <c r="E170" i="3"/>
  <c r="B170" i="3"/>
  <c r="U169" i="3"/>
  <c r="K169" i="3"/>
  <c r="E169" i="3"/>
  <c r="B169" i="3"/>
  <c r="U168" i="3"/>
  <c r="K168" i="3"/>
  <c r="E168" i="3"/>
  <c r="B168" i="3"/>
  <c r="U167" i="3"/>
  <c r="K167" i="3"/>
  <c r="E167" i="3"/>
  <c r="B167" i="3"/>
  <c r="U166" i="3"/>
  <c r="K166" i="3"/>
  <c r="E166" i="3"/>
  <c r="B166" i="3"/>
  <c r="U165" i="3"/>
  <c r="K165" i="3"/>
  <c r="E165" i="3"/>
  <c r="B165" i="3"/>
  <c r="U164" i="3"/>
  <c r="K164" i="3"/>
  <c r="E164" i="3"/>
  <c r="B164" i="3"/>
  <c r="U163" i="3"/>
  <c r="K163" i="3"/>
  <c r="E163" i="3"/>
  <c r="B163" i="3"/>
  <c r="U162" i="3"/>
  <c r="K162" i="3"/>
  <c r="E162" i="3"/>
  <c r="B162" i="3"/>
  <c r="U161" i="3"/>
  <c r="K161" i="3"/>
  <c r="E161" i="3"/>
  <c r="B161" i="3"/>
  <c r="U160" i="3"/>
  <c r="K160" i="3"/>
  <c r="E160" i="3"/>
  <c r="B160" i="3"/>
  <c r="U159" i="3"/>
  <c r="K159" i="3"/>
  <c r="E159" i="3"/>
  <c r="B159" i="3"/>
  <c r="U158" i="3"/>
  <c r="K158" i="3"/>
  <c r="E158" i="3"/>
  <c r="B158" i="3"/>
  <c r="U157" i="3"/>
  <c r="K157" i="3"/>
  <c r="E157" i="3"/>
  <c r="B157" i="3"/>
  <c r="U156" i="3"/>
  <c r="K156" i="3"/>
  <c r="E156" i="3"/>
  <c r="B156" i="3"/>
  <c r="U155" i="3"/>
  <c r="K155" i="3"/>
  <c r="E155" i="3"/>
  <c r="B155" i="3"/>
  <c r="U154" i="3"/>
  <c r="K154" i="3"/>
  <c r="E154" i="3"/>
  <c r="B154" i="3"/>
  <c r="U153" i="3"/>
  <c r="K153" i="3"/>
  <c r="E153" i="3"/>
  <c r="B153" i="3"/>
  <c r="K152" i="3"/>
  <c r="E152" i="3"/>
  <c r="B152" i="3"/>
  <c r="U151" i="3"/>
  <c r="K151" i="3"/>
  <c r="E151" i="3"/>
  <c r="B151" i="3"/>
  <c r="U150" i="3"/>
  <c r="K150" i="3"/>
  <c r="E150" i="3"/>
  <c r="B150" i="3"/>
  <c r="U149" i="3"/>
  <c r="K149" i="3"/>
  <c r="E149" i="3"/>
  <c r="B149" i="3"/>
  <c r="U148" i="3"/>
  <c r="K148" i="3"/>
  <c r="E148" i="3"/>
  <c r="B148" i="3"/>
  <c r="U147" i="3"/>
  <c r="K147" i="3"/>
  <c r="E147" i="3"/>
  <c r="B147" i="3"/>
  <c r="U146" i="3"/>
  <c r="K146" i="3"/>
  <c r="E146" i="3"/>
  <c r="B146" i="3"/>
  <c r="U145" i="3"/>
  <c r="K145" i="3"/>
  <c r="E145" i="3"/>
  <c r="B145" i="3"/>
  <c r="U144" i="3"/>
  <c r="K144" i="3"/>
  <c r="E144" i="3"/>
  <c r="B144" i="3"/>
  <c r="U143" i="3"/>
  <c r="K143" i="3"/>
  <c r="E143" i="3"/>
  <c r="B143" i="3"/>
  <c r="U142" i="3"/>
  <c r="K142" i="3"/>
  <c r="E142" i="3"/>
  <c r="B142" i="3"/>
  <c r="U141" i="3"/>
  <c r="K141" i="3"/>
  <c r="E141" i="3"/>
  <c r="B141" i="3"/>
  <c r="U140" i="3"/>
  <c r="K140" i="3"/>
  <c r="E140" i="3"/>
  <c r="B140" i="3"/>
  <c r="U139" i="3"/>
  <c r="K139" i="3"/>
  <c r="E139" i="3"/>
  <c r="B139" i="3"/>
  <c r="U138" i="3"/>
  <c r="K138" i="3"/>
  <c r="E138" i="3"/>
  <c r="B138" i="3"/>
  <c r="U137" i="3"/>
  <c r="K137" i="3"/>
  <c r="E137" i="3"/>
  <c r="B137" i="3"/>
  <c r="U136" i="3"/>
  <c r="K136" i="3"/>
  <c r="E136" i="3"/>
  <c r="B136" i="3"/>
  <c r="U135" i="3"/>
  <c r="K135" i="3"/>
  <c r="E135" i="3"/>
  <c r="B135" i="3"/>
  <c r="U134" i="3"/>
  <c r="K134" i="3"/>
  <c r="E134" i="3"/>
  <c r="B134" i="3"/>
  <c r="U133" i="3"/>
  <c r="K133" i="3"/>
  <c r="E133" i="3"/>
  <c r="B133" i="3"/>
  <c r="U132" i="3"/>
  <c r="K132" i="3"/>
  <c r="E132" i="3"/>
  <c r="B132" i="3"/>
  <c r="U131" i="3"/>
  <c r="K131" i="3"/>
  <c r="E131" i="3"/>
  <c r="B131" i="3"/>
  <c r="U130" i="3"/>
  <c r="K130" i="3"/>
  <c r="E130" i="3"/>
  <c r="B130" i="3"/>
  <c r="U129" i="3"/>
  <c r="K129" i="3"/>
  <c r="E129" i="3"/>
  <c r="B129" i="3"/>
  <c r="U128" i="3"/>
  <c r="K128" i="3"/>
  <c r="E128" i="3"/>
  <c r="B128" i="3"/>
  <c r="U127" i="3"/>
  <c r="K127" i="3"/>
  <c r="E127" i="3"/>
  <c r="B127" i="3"/>
  <c r="U126" i="3"/>
  <c r="K126" i="3"/>
  <c r="E126" i="3"/>
  <c r="B126" i="3"/>
  <c r="U125" i="3"/>
  <c r="K125" i="3"/>
  <c r="E125" i="3"/>
  <c r="B125" i="3"/>
  <c r="U124" i="3"/>
  <c r="K124" i="3"/>
  <c r="E124" i="3"/>
  <c r="B124" i="3"/>
  <c r="U123" i="3"/>
  <c r="K123" i="3"/>
  <c r="E123" i="3"/>
  <c r="B123" i="3"/>
  <c r="U122" i="3"/>
  <c r="K122" i="3"/>
  <c r="E122" i="3"/>
  <c r="B122" i="3"/>
  <c r="U121" i="3"/>
  <c r="K121" i="3"/>
  <c r="E121" i="3"/>
  <c r="B121" i="3"/>
  <c r="U120" i="3"/>
  <c r="K120" i="3"/>
  <c r="E120" i="3"/>
  <c r="B120" i="3"/>
  <c r="U119" i="3"/>
  <c r="K119" i="3"/>
  <c r="E119" i="3"/>
  <c r="B119" i="3"/>
  <c r="K118" i="3"/>
  <c r="E118" i="3"/>
  <c r="B118" i="3"/>
  <c r="U117" i="3"/>
  <c r="K117" i="3"/>
  <c r="E117" i="3"/>
  <c r="B117" i="3"/>
  <c r="K116" i="3"/>
  <c r="E116" i="3"/>
  <c r="B116" i="3"/>
  <c r="U115" i="3"/>
  <c r="K115" i="3"/>
  <c r="E115" i="3"/>
  <c r="B115" i="3"/>
  <c r="U114" i="3"/>
  <c r="K114" i="3"/>
  <c r="E114" i="3"/>
  <c r="B114" i="3"/>
  <c r="U113" i="3"/>
  <c r="K113" i="3"/>
  <c r="E113" i="3"/>
  <c r="B113" i="3"/>
  <c r="U112" i="3"/>
  <c r="K112" i="3"/>
  <c r="E112" i="3"/>
  <c r="B112" i="3"/>
  <c r="U111" i="3"/>
  <c r="K111" i="3"/>
  <c r="E111" i="3"/>
  <c r="B111" i="3"/>
  <c r="U110" i="3"/>
  <c r="K110" i="3"/>
  <c r="E110" i="3"/>
  <c r="B110" i="3"/>
  <c r="U109" i="3"/>
  <c r="K109" i="3"/>
  <c r="E109" i="3"/>
  <c r="B109" i="3"/>
  <c r="U108" i="3"/>
  <c r="K108" i="3"/>
  <c r="E108" i="3"/>
  <c r="B108" i="3"/>
  <c r="U107" i="3"/>
  <c r="K107" i="3"/>
  <c r="E107" i="3"/>
  <c r="B107" i="3"/>
  <c r="U106" i="3"/>
  <c r="K106" i="3"/>
  <c r="E106" i="3"/>
  <c r="B106" i="3"/>
  <c r="U105" i="3"/>
  <c r="K105" i="3"/>
  <c r="E105" i="3"/>
  <c r="B105" i="3"/>
  <c r="U104" i="3"/>
  <c r="K104" i="3"/>
  <c r="E104" i="3"/>
  <c r="B104" i="3"/>
  <c r="U103" i="3"/>
  <c r="K103" i="3"/>
  <c r="E103" i="3"/>
  <c r="B103" i="3"/>
  <c r="U102" i="3"/>
  <c r="K102" i="3"/>
  <c r="E102" i="3"/>
  <c r="B102" i="3"/>
  <c r="U101" i="3"/>
  <c r="K101" i="3"/>
  <c r="E101" i="3"/>
  <c r="B101" i="3"/>
  <c r="U100" i="3"/>
  <c r="K100" i="3"/>
  <c r="E100" i="3"/>
  <c r="B100" i="3"/>
  <c r="U99" i="3"/>
  <c r="K99" i="3"/>
  <c r="E99" i="3"/>
  <c r="B99" i="3"/>
  <c r="U98" i="3"/>
  <c r="K98" i="3"/>
  <c r="E98" i="3"/>
  <c r="B98" i="3"/>
  <c r="U97" i="3"/>
  <c r="K97" i="3"/>
  <c r="E97" i="3"/>
  <c r="B97" i="3"/>
  <c r="U96" i="3"/>
  <c r="K96" i="3"/>
  <c r="E96" i="3"/>
  <c r="B96" i="3"/>
  <c r="U95" i="3"/>
  <c r="K95" i="3"/>
  <c r="E95" i="3"/>
  <c r="B95" i="3"/>
  <c r="U94" i="3"/>
  <c r="K94" i="3"/>
  <c r="E94" i="3"/>
  <c r="B94" i="3"/>
  <c r="U93" i="3"/>
  <c r="K93" i="3"/>
  <c r="E93" i="3"/>
  <c r="B93" i="3"/>
  <c r="U92" i="3"/>
  <c r="K92" i="3"/>
  <c r="E92" i="3"/>
  <c r="B92" i="3"/>
  <c r="U91" i="3"/>
  <c r="K91" i="3"/>
  <c r="E91" i="3"/>
  <c r="B91" i="3"/>
  <c r="U90" i="3"/>
  <c r="K90" i="3"/>
  <c r="E90" i="3"/>
  <c r="B90" i="3"/>
  <c r="U89" i="3"/>
  <c r="K89" i="3"/>
  <c r="E89" i="3"/>
  <c r="B89" i="3"/>
  <c r="U88" i="3"/>
  <c r="K88" i="3"/>
  <c r="E88" i="3"/>
  <c r="B88" i="3"/>
  <c r="U87" i="3"/>
  <c r="K87" i="3"/>
  <c r="E87" i="3"/>
  <c r="B87" i="3"/>
  <c r="U86" i="3"/>
  <c r="K86" i="3"/>
  <c r="E86" i="3"/>
  <c r="B86" i="3"/>
  <c r="U85" i="3"/>
  <c r="K85" i="3"/>
  <c r="E85" i="3"/>
  <c r="B85" i="3"/>
  <c r="U84" i="3"/>
  <c r="K84" i="3"/>
  <c r="E84" i="3"/>
  <c r="B84" i="3"/>
  <c r="U83" i="3"/>
  <c r="K83" i="3"/>
  <c r="E83" i="3"/>
  <c r="B83" i="3"/>
  <c r="U82" i="3"/>
  <c r="K82" i="3"/>
  <c r="E82" i="3"/>
  <c r="B82" i="3"/>
  <c r="U81" i="3"/>
  <c r="K81" i="3"/>
  <c r="E81" i="3"/>
  <c r="B81" i="3"/>
  <c r="U80" i="3"/>
  <c r="K80" i="3"/>
  <c r="E80" i="3"/>
  <c r="B80" i="3"/>
  <c r="U79" i="3"/>
  <c r="K79" i="3"/>
  <c r="E79" i="3"/>
  <c r="B79" i="3"/>
  <c r="U78" i="3"/>
  <c r="K78" i="3"/>
  <c r="E78" i="3"/>
  <c r="B78" i="3"/>
  <c r="U77" i="3"/>
  <c r="K77" i="3"/>
  <c r="E77" i="3"/>
  <c r="B77" i="3"/>
  <c r="U76" i="3"/>
  <c r="K76" i="3"/>
  <c r="E76" i="3"/>
  <c r="B76" i="3"/>
  <c r="U75" i="3"/>
  <c r="K75" i="3"/>
  <c r="E75" i="3"/>
  <c r="B75" i="3"/>
  <c r="U74" i="3"/>
  <c r="K74" i="3"/>
  <c r="E74" i="3"/>
  <c r="B74" i="3"/>
  <c r="U73" i="3"/>
  <c r="K73" i="3"/>
  <c r="E73" i="3"/>
  <c r="B73" i="3"/>
  <c r="U72" i="3"/>
  <c r="K72" i="3"/>
  <c r="E72" i="3"/>
  <c r="B72" i="3"/>
  <c r="U71" i="3"/>
  <c r="K71" i="3"/>
  <c r="E71" i="3"/>
  <c r="B71" i="3"/>
  <c r="U70" i="3"/>
  <c r="K70" i="3"/>
  <c r="E70" i="3"/>
  <c r="B70" i="3"/>
  <c r="U69" i="3"/>
  <c r="K69" i="3"/>
  <c r="E69" i="3"/>
  <c r="B69" i="3"/>
  <c r="U68" i="3"/>
  <c r="K68" i="3"/>
  <c r="E68" i="3"/>
  <c r="B68" i="3"/>
  <c r="U67" i="3"/>
  <c r="K67" i="3"/>
  <c r="E67" i="3"/>
  <c r="B67" i="3"/>
  <c r="U66" i="3"/>
  <c r="K66" i="3"/>
  <c r="E66" i="3"/>
  <c r="B66" i="3"/>
  <c r="U65" i="3"/>
  <c r="K65" i="3"/>
  <c r="E65" i="3"/>
  <c r="B65" i="3"/>
  <c r="U64" i="3"/>
  <c r="K64" i="3"/>
  <c r="E64" i="3"/>
  <c r="B64" i="3"/>
  <c r="U63" i="3"/>
  <c r="K63" i="3"/>
  <c r="E63" i="3"/>
  <c r="B63" i="3"/>
  <c r="U62" i="3"/>
  <c r="K62" i="3"/>
  <c r="E62" i="3"/>
  <c r="B62" i="3"/>
  <c r="U61" i="3"/>
  <c r="K61" i="3"/>
  <c r="E61" i="3"/>
  <c r="B61" i="3"/>
  <c r="U60" i="3"/>
  <c r="K60" i="3"/>
  <c r="E60" i="3"/>
  <c r="B60" i="3"/>
  <c r="U59" i="3"/>
  <c r="K59" i="3"/>
  <c r="E59" i="3"/>
  <c r="B59" i="3"/>
  <c r="U58" i="3"/>
  <c r="K58" i="3"/>
  <c r="E58" i="3"/>
  <c r="B58" i="3"/>
  <c r="U57" i="3"/>
  <c r="K57" i="3"/>
  <c r="E57" i="3"/>
  <c r="B57" i="3"/>
  <c r="U56" i="3"/>
  <c r="K56" i="3"/>
  <c r="E56" i="3"/>
  <c r="B56" i="3"/>
  <c r="U55" i="3"/>
  <c r="K55" i="3"/>
  <c r="E55" i="3"/>
  <c r="B55" i="3"/>
  <c r="U54" i="3"/>
  <c r="K54" i="3"/>
  <c r="E54" i="3"/>
  <c r="B54" i="3"/>
  <c r="U53" i="3"/>
  <c r="K53" i="3"/>
  <c r="E53" i="3"/>
  <c r="B53" i="3"/>
  <c r="U52" i="3"/>
  <c r="K52" i="3"/>
  <c r="E52" i="3"/>
  <c r="B52" i="3"/>
  <c r="U51" i="3"/>
  <c r="K51" i="3"/>
  <c r="E51" i="3"/>
  <c r="B51" i="3"/>
  <c r="U50" i="3"/>
  <c r="K50" i="3"/>
  <c r="E50" i="3"/>
  <c r="B50" i="3"/>
  <c r="U49" i="3"/>
  <c r="K49" i="3"/>
  <c r="E49" i="3"/>
  <c r="B49" i="3"/>
  <c r="U48" i="3"/>
  <c r="K48" i="3"/>
  <c r="E48" i="3"/>
  <c r="B48" i="3"/>
  <c r="U47" i="3"/>
  <c r="K47" i="3"/>
  <c r="E47" i="3"/>
  <c r="B47" i="3"/>
  <c r="U46" i="3"/>
  <c r="K46" i="3"/>
  <c r="E46" i="3"/>
  <c r="B46" i="3"/>
  <c r="U45" i="3"/>
  <c r="K45" i="3"/>
  <c r="E45" i="3"/>
  <c r="B45" i="3"/>
  <c r="K44" i="3"/>
  <c r="E44" i="3"/>
  <c r="B44" i="3"/>
  <c r="K43" i="3"/>
  <c r="E43" i="3"/>
  <c r="B43" i="3"/>
  <c r="U42" i="3"/>
  <c r="K42" i="3"/>
  <c r="E42" i="3"/>
  <c r="B42" i="3"/>
  <c r="U41" i="3"/>
  <c r="K41" i="3"/>
  <c r="E41" i="3"/>
  <c r="B41" i="3"/>
  <c r="U40" i="3"/>
  <c r="K40" i="3"/>
  <c r="E40" i="3"/>
  <c r="B40" i="3"/>
  <c r="U39" i="3"/>
  <c r="K39" i="3"/>
  <c r="E39" i="3"/>
  <c r="B39" i="3"/>
  <c r="U38" i="3"/>
  <c r="K38" i="3"/>
  <c r="E38" i="3"/>
  <c r="B38" i="3"/>
  <c r="U37" i="3"/>
  <c r="K37" i="3"/>
  <c r="E37" i="3"/>
  <c r="B37" i="3"/>
  <c r="U36" i="3"/>
  <c r="K36" i="3"/>
  <c r="E36" i="3"/>
  <c r="B36" i="3"/>
  <c r="U35" i="3"/>
  <c r="K35" i="3"/>
  <c r="E35" i="3"/>
  <c r="B35" i="3"/>
  <c r="U34" i="3"/>
  <c r="K34" i="3"/>
  <c r="E34" i="3"/>
  <c r="B34" i="3"/>
  <c r="U33" i="3"/>
  <c r="K33" i="3"/>
  <c r="E33" i="3"/>
  <c r="B33" i="3"/>
  <c r="U32" i="3"/>
  <c r="K32" i="3"/>
  <c r="E32" i="3"/>
  <c r="B32" i="3"/>
  <c r="U31" i="3"/>
  <c r="K31" i="3"/>
  <c r="E31" i="3"/>
  <c r="B31" i="3"/>
  <c r="U30" i="3"/>
  <c r="K30" i="3"/>
  <c r="E30" i="3"/>
  <c r="B30" i="3"/>
  <c r="K29" i="3"/>
  <c r="E29" i="3"/>
  <c r="B29" i="3"/>
  <c r="U28" i="3"/>
  <c r="K28" i="3"/>
  <c r="E28" i="3"/>
  <c r="B28" i="3"/>
  <c r="U27" i="3"/>
  <c r="K27" i="3"/>
  <c r="E27" i="3"/>
  <c r="B27" i="3"/>
  <c r="U26" i="3"/>
  <c r="K26" i="3"/>
  <c r="E26" i="3"/>
  <c r="B26" i="3"/>
  <c r="U25" i="3"/>
  <c r="K25" i="3"/>
  <c r="E25" i="3"/>
  <c r="B25" i="3"/>
  <c r="U24" i="3"/>
  <c r="K24" i="3"/>
  <c r="E24" i="3"/>
  <c r="B24" i="3"/>
  <c r="U23" i="3"/>
  <c r="K23" i="3"/>
  <c r="E23" i="3"/>
  <c r="B23" i="3"/>
  <c r="U22" i="3"/>
  <c r="K22" i="3"/>
  <c r="E22" i="3"/>
  <c r="B22" i="3"/>
  <c r="U21" i="3"/>
  <c r="K21" i="3"/>
  <c r="E21" i="3"/>
  <c r="B21" i="3"/>
  <c r="U20" i="3"/>
  <c r="K20" i="3"/>
  <c r="E20" i="3"/>
  <c r="B20" i="3"/>
  <c r="U19" i="3"/>
  <c r="K19" i="3"/>
  <c r="E19" i="3"/>
  <c r="B19" i="3"/>
  <c r="U18" i="3"/>
  <c r="K18" i="3"/>
  <c r="E18" i="3"/>
  <c r="B18" i="3"/>
  <c r="U17" i="3"/>
  <c r="K17" i="3"/>
  <c r="E17" i="3"/>
  <c r="B17" i="3"/>
  <c r="U16" i="3"/>
  <c r="K16" i="3"/>
  <c r="E16" i="3"/>
  <c r="B16" i="3"/>
  <c r="U15" i="3"/>
  <c r="K15" i="3"/>
  <c r="E15" i="3"/>
  <c r="B15" i="3"/>
  <c r="U14" i="3"/>
  <c r="K14" i="3"/>
  <c r="E14" i="3"/>
  <c r="B14" i="3"/>
  <c r="U13" i="3"/>
  <c r="K13" i="3"/>
  <c r="E13" i="3"/>
  <c r="B13" i="3"/>
  <c r="U12" i="3"/>
  <c r="K12" i="3"/>
  <c r="E12" i="3"/>
  <c r="B12" i="3"/>
  <c r="U11" i="3"/>
  <c r="K11" i="3"/>
  <c r="E11" i="3"/>
  <c r="B11" i="3"/>
  <c r="U10" i="3"/>
  <c r="K10" i="3"/>
  <c r="E10" i="3"/>
  <c r="B10" i="3"/>
  <c r="U9" i="3"/>
  <c r="K9" i="3"/>
  <c r="E9" i="3"/>
  <c r="B9" i="3"/>
  <c r="U8" i="3"/>
  <c r="K8" i="3"/>
  <c r="E8" i="3"/>
  <c r="B8" i="3"/>
  <c r="U7" i="3"/>
  <c r="K7" i="3"/>
  <c r="E7" i="3"/>
  <c r="B7" i="3"/>
  <c r="U6" i="3"/>
  <c r="K6" i="3"/>
  <c r="E6" i="3"/>
  <c r="B6" i="3"/>
  <c r="U5" i="3"/>
  <c r="K5" i="3"/>
  <c r="E5" i="3"/>
  <c r="B5" i="3"/>
  <c r="U4" i="3"/>
  <c r="K4" i="3"/>
  <c r="E4" i="3"/>
  <c r="B4" i="3"/>
  <c r="U3" i="3"/>
  <c r="K3" i="3"/>
  <c r="E3" i="3"/>
  <c r="B3" i="3"/>
</calcChain>
</file>

<file path=xl/sharedStrings.xml><?xml version="1.0" encoding="utf-8"?>
<sst xmlns="http://schemas.openxmlformats.org/spreadsheetml/2006/main" count="10938" uniqueCount="7670">
  <si>
    <t>Date</t>
  </si>
  <si>
    <t>Twitter Query: Pablo Iglesias lang:es -filter:retweets -filter:replies</t>
  </si>
  <si>
    <t>User Details</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</si>
  <si>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</si>
  <si>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</si>
  <si>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</si>
  <si>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</si>
  <si>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</si>
  <si>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</si>
  <si>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</si>
  <si>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</si>
  <si>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</si>
  <si>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</si>
  <si>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</si>
  <si>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</si>
  <si>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</si>
  <si>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</si>
  <si>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</si>
  <si>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</si>
  <si>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</si>
  <si>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</si>
  <si>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</si>
  <si>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PP Comunidad de Madrid</t>
  </si>
  <si>
    <t>Para Pablo Iglesias la base de la democracia es que el pueblo porte armas... La hemeroteca siempre les pone en su sitio.</t>
  </si>
  <si>
    <t>pic.twitter.com/6pcHMio2Kz</t>
  </si>
  <si>
    <t>✅</t>
  </si>
  <si>
    <t>Comunidad de Madrid, España</t>
  </si>
  <si>
    <t>Somos el partido preferido de los madrileños. En este proyecto tú eres el protagonista 📮 participa@ppmadrid.es</t>
  </si>
  <si>
    <t>bitMomentum</t>
  </si>
  <si>
    <t>http://www.ppmadrid.es</t>
  </si>
  <si>
    <t>Observatorio en tiempo real de política española en Twitter.</t>
  </si>
  <si>
    <t>http://www.bitmomentum.com</t>
  </si>
  <si>
    <t>LUIS JORDÁN TORRENT</t>
  </si>
  <si>
    <t>El Pablo Iglesias que hubiera azotado hasta sangrar a una periodista llama machistas a los magistrados de "La Manada"</t>
  </si>
  <si>
    <t>https://custodiapaterna.blogspot.com/2018/12/el-pablo-iglesias-que-hubiera-azotado.html?m=1</t>
  </si>
  <si>
    <t>MOLINA DE SEGURA ( MURCIA )</t>
  </si>
  <si>
    <t>MÉDICO DE URGENCIAS Y EMERGENCIAS Ldo.en Medicina y Cirugía,aficionado al ciclismo. Nací en Novelda(Alicante),y actualmente resido en Murcia.</t>
  </si>
  <si>
    <t>http://facebook.com/luisenrique.jordantorrent</t>
  </si>
  <si>
    <t>-_es_+</t>
  </si>
  <si>
    <t>Pablo Iglesias se desespera al quedarse solo en su "cacería" al Rey Juan Carlos  vía @ESdiario_com</t>
  </si>
  <si>
    <t>https://www.esdiario.com/781025410/Pablo-Iglesias-se-desespera-al-quedarse-solo-en-su-caceria-al-Rey-Juan-Carlos.html</t>
  </si>
  <si>
    <t>Madrid, Comunidad de Madrid</t>
  </si>
  <si>
    <t>España</t>
  </si>
  <si>
    <t>ESPAÑOL. Y FACHA.</t>
  </si>
  <si>
    <t>https://twitter.com/Miotroyo2parte/status/1071131909990875136</t>
  </si>
  <si>
    <t>KKO DIARIO</t>
  </si>
  <si>
    <t>Carta al tipo que mandó una carta a Pablo Iglesias. "Banalizar la historia es lo que crea fascistas". Por Jordi Serrano i Blanquer</t>
  </si>
  <si>
    <t>isabel</t>
  </si>
  <si>
    <t>#PabloIglesias podría ser juzgado por incitación a la violencia según el Código Penal http:// . SIIIIIIIII.!!!!</t>
  </si>
  <si>
    <t>https://blogs.publico.es/dominiopublico/27340/carta-al-tipo-que-mando-una-carta-a-pablo-iglesias/</t>
  </si>
  <si>
    <t>Román Encabo</t>
  </si>
  <si>
    <t>La subida de @vox_es se debe a la propaganda que Susana Díaz les hizo en la campaña, y, la continuación de su ascenso está atizada por @Pablo_Iglesias_ y sus manifestaciones y, ahora, por las de @sanchezcastejon .Entre los tres les harán un hueco en el espectro político nacional RT @ElCascabelTRECE: #VÍDEO @bieitorubido: "Cada vez que insultan a @vox_es le están dando votos"</t>
  </si>
  <si>
    <t>http://www.diarioalcazar.com/2018/12/pablo-iglesias-podria-ser-juzgado-por.html?m=1&amp;fbclid=IwAR0NzKZya142PxdvH4SJ6Z0pUxrPqlWkzR47RWCeyEXlQGXbs4Uk5ylqpzA</t>
  </si>
  <si>
    <t>https://twitter.com/ElCascabelTRECE/status/1071437832886075392
http://ver.trecetv.es/qvz4e1</t>
  </si>
  <si>
    <t>Mostrando el KKO que montan y tienen en la cabeza la derecha, ultraderecha, Pantuflo and company. ❤💛💜</t>
  </si>
  <si>
    <t>Navarredondilla, Ávila, Crespos, Madrid y Calpe: hitos clave que jalonan la urdimbre geográfica, humana y social de mi existencia personal</t>
  </si>
  <si>
    <t>Sevilla , trabajo en Madrid</t>
  </si>
  <si>
    <t>Arquitecto</t>
  </si>
  <si>
    <t>VH</t>
  </si>
  <si>
    <t>La carta viral a Pablo Iglesias tras el auge de Vox: 'Cuando usted predica pobreza y sobriedad pero se compra un chalé, nace un fascista'  vía @A3Noticias</t>
  </si>
  <si>
    <t>GustavoReportero</t>
  </si>
  <si>
    <t>El problemón es que NO es sólo @Pablo_Iglesias_ . Son también @QuimTorraiPla azuzando a los CDR y violando gravemente el Estado de Derecho, @ArnaldoOtegi señalando ahora a Casado, @Rufian... Y el máximo responsable de todo es @sanchezcastejon, su socio. RT @Santi_ABASCAL: Dijimos que señalábamos a Pablo Iglesias como instigador de este clima de odio y de las agresiones que se produjeran...y hoy lo reiteramos. ¿Hasta cuándo van a a seguir los comunistas podemitas rompiendo la convivencia?</t>
  </si>
  <si>
    <t>http://j.mp/2EdLMrI</t>
  </si>
  <si>
    <t>https://twitter.com/Santi_ABASCAL/status/1071166776011055105
https://twitter.com/libertaddigital/status/1071126968064589824</t>
  </si>
  <si>
    <t>puerto montt.chile</t>
  </si>
  <si>
    <t>PATRIOTA DE VERDAD,SIN MIEDOS,ESTE ES DE COBARDES,AHORA HAY QUE IR CONTRA LOS USURPADORES Y APATRIDAS, Y CUBANOS</t>
  </si>
  <si>
    <t>http://page.is/vh</t>
  </si>
  <si>
    <t>Luís</t>
  </si>
  <si>
    <t>Al final la peña piensa que si este @Pablo_Iglesias_ este @sanchezcastejon este otro @pnique y este @gabrielrufian entre otros están en contra de Franco algo debería de tener de cierto 🙌 RT @doguionrego: Al final conseguieron llenar de espectaculacion un lugar donde no iba nadie 🙌</t>
  </si>
  <si>
    <t>https://twitter.com/doguionrego/status/1071434152908603394
https://twitter.com/progrestona/status/1071347664422342661</t>
  </si>
  <si>
    <t>Francisco Fernandez</t>
  </si>
  <si>
    <t>"Ya no es solo cosa de Pablo Iglesias." 👇👇 RT @La_SER: Sánchez apela a una movilización "serena" y "moderada" de la sociedad ante el auge de la extrema derecha</t>
  </si>
  <si>
    <t>concursante</t>
  </si>
  <si>
    <t>https://twitter.com/La_SER/status/1071405075262771201
http://cadenaser.com/ser/2018/12/08/politica/1544277340_737434.html</t>
  </si>
  <si>
    <t>https://pbs.twimg.com/media/Dt5lOywWoAEoXJV.jpg</t>
  </si>
  <si>
    <t>Maby</t>
  </si>
  <si>
    <t>" @Santi_ABASCAL culpa a @Pablo_Iglesias_ del ataque a dos afiliados de @vox_es: "¿Hasta cuándo vais a seguir los comunistas rompiendo la convivencia?""</t>
  </si>
  <si>
    <t>https://casoaislado.com/abascal-culpa-a-iglesias-del-ataque-a-dos-afiliados-de-vox-hasta-cuando-vais-a-seguir-los-comunistas-rompiendo-la-convivencia/</t>
  </si>
  <si>
    <t>En algún lugar...</t>
  </si>
  <si>
    <t>La curiosidad mató al gato... Pero murió sabiendo.!!!</t>
  </si>
  <si>
    <t>SPAINMACOM</t>
  </si>
  <si>
    <t>HELEN ن✌️</t>
  </si>
  <si>
    <t>Mira y aprende @Pablo_Iglesias_ RT @cakealatake: Por qué es importante mostrar como son los separatistas? Por qué es importante la colaboración para resolución de los asesinatos de los terroristas? Por qué es importante denunciar la violencia CDR y kale borroka? Para q no repitamos nuestra historia!!!</t>
  </si>
  <si>
    <t>https://twitter.com/cakealatake/status/1071416919603994626
https://youtu.be/PF5BsocnNQ4</t>
  </si>
  <si>
    <t>Miles de españoles firman para que Pablo Iglesias sea condenado a prisión por delito de odio contra VOX</t>
  </si>
  <si>
    <t>Moriré frente al enemigo como un caballero de bien, más sois vos quien volverá grupas como un traidor. Celtíbero pues...🇪🇸✝️</t>
  </si>
  <si>
    <t>https://casoaislado.com/miles-de-espanoles-firman-para-que-pablo-iglesias-sea-condenado-a-prision-por-delito-de-odio-contra-vox/</t>
  </si>
  <si>
    <t>La Razón</t>
  </si>
  <si>
    <t>#España 😱 Cuando @Pablo_Iglesias_ dijo que el derecho a llevar armas es «la base de la democracia».</t>
  </si>
  <si>
    <t>“Una papeleta de voto es más fuerte que una bala de fusil.”  -Abraham Lincoln-</t>
  </si>
  <si>
    <t>Católica ✝️ practicante. NO al aborto NO a la eutanasia. SÍ a la vida. Simpatizante de #Vox 🇪🇸 Por lo tanto...FACHA, FACHA y mil veces FACHA!!! #EleccionesYa</t>
  </si>
  <si>
    <t>http://lrzn.es/mbnep3</t>
  </si>
  <si>
    <t>pic.twitter.com/uOxSuEejRv</t>
  </si>
  <si>
    <t>Cuenta oficial del diario LA RAZÓN. RT y HT no significan necesariamente acuerdo. http://facebook.com/larazon.es http://instagram.com/larazon.es/</t>
  </si>
  <si>
    <t>http://www.larazon.es</t>
  </si>
  <si>
    <t>https://twitter.com/libertaddigital/status/1071126968064589824
http://dlvr.it/Qt5FG3</t>
  </si>
  <si>
    <t>Pablo Machuca</t>
  </si>
  <si>
    <t>Estoy por ponerme en la bio de Twitter "peligroso comunista podemita que trabaja en @ElHuffPost al servicio de @Pablo_Iglesias_"</t>
  </si>
  <si>
    <t>Gran Canaria</t>
  </si>
  <si>
    <t>https://pbs.twimg.com/media/Dt57bhOWkAEiEpZ.jpg</t>
  </si>
  <si>
    <t>Madrid, Spain</t>
  </si>
  <si>
    <t>NeXtHoR</t>
  </si>
  <si>
    <t>Periodista en El HuffPost (@ElHuffPost). Antes estuve en Público.es y en RTVE.es / I'm not superstitious, but i'm a little stitious</t>
  </si>
  <si>
    <t>Errejón se desmarca de la "alerta antifascista" de Pablo Iglesias contra...  vía #podemos #iñigoerrejon es el único sensato que les queda, por eso se lo quieren cargar #PabloIglesias</t>
  </si>
  <si>
    <t>https://www.instagram.com/pmachucal/</t>
  </si>
  <si>
    <t>A.M.Edwards</t>
  </si>
  <si>
    <t>Bertín Osborne: "A Pablo Iglesias no le voto ni muerto, ni harto de vino" @elmundoes</t>
  </si>
  <si>
    <t>https://youtu.be/ujNpqraCBIg</t>
  </si>
  <si>
    <t>pigdemont</t>
  </si>
  <si>
    <t>Mientras @pablo_iglesias_ incita a los desordenes y las agresiones y @QuimTorraiPla busca una guerra de 10 días a la Eslovena el traidor @sanchezcastejon prepara su próximo viaje. Nadie como vosotros hizo tanto por destruir a la izquierda . GRACIAS</t>
  </si>
  <si>
    <t>Oviedo-Madrid-Oviedo</t>
  </si>
  <si>
    <t>....listening to the wind of change...</t>
  </si>
  <si>
    <t>http://www.elmundo.es/loc/famosos/2018/12/08/5c0a3ffffc6c8320198b45e5.html</t>
  </si>
  <si>
    <t>https://pbs.twimg.com/media/Dt57LD9WwAA33Kj.jpg</t>
  </si>
  <si>
    <t xml:space="preserve">España </t>
  </si>
  <si>
    <t>Cuenta Oficial Bloqueado por @KRLS y @pablo_Iglesias_ El mejor regalo navideño, pack de jamón ibérico y espumoso rufián charnego. ENVÍO GRATIS.</t>
  </si>
  <si>
    <t>Economics,arquitecture,nature. Economía,arquitectura,naturaleza. Rts no significan aprobacion.RTs &amp; likes don't mean endorsement.🇪🇸🇬🇧🇫🇷🇮🇱</t>
  </si>
  <si>
    <t>http://www.pigdemont.es</t>
  </si>
  <si>
    <t>Juan Manuel García</t>
  </si>
  <si>
    <t>Otra ración d insultos y despropósitos,ganas de enfrentarnos.Entre esta sra y @Pablo_Iglesias_ llamando a la movilización callejera en contra de las urnas,mal vamos.Gracias a Dios,sí a mi Dios de los cristianos,no toda la gente de @ahorapodemos son iguales cambiaran de opción RT @IdiazAyuso: Que te llaman degenerado 😂 @GirautaOficial</t>
  </si>
  <si>
    <t>Sebya🇪🇸</t>
  </si>
  <si>
    <t>Una carta a Pablo Iglesias.👇👏👏👏 RT @philidor38: CARTA A PABLO IGLESIAS TURRIÓN Señor Iglesias: Respecto a su discurso de anoche tras el escrutinio en las Elecciones de Andalucía, quisiera comentarle algunas cosas:</t>
  </si>
  <si>
    <t>https://twitter.com/IdiazAyuso/status/1070394142969249792</t>
  </si>
  <si>
    <t>https://twitter.com/philidor38/status/1069659054937653249</t>
  </si>
  <si>
    <t>pic.twitter.com/WDiPB21viJ</t>
  </si>
  <si>
    <t>Madrileño de nacimiento.Enamorado de mi familia.Enfermero de profesion. El objetivo de la educación es la virtud y el deseo de convertirse en un buen CIUDADANO</t>
  </si>
  <si>
    <t>🇪🇸</t>
  </si>
  <si>
    <t>PEPE</t>
  </si>
  <si>
    <t>Errejon se afiliará a Podemos? @Pablo_Iglesias_</t>
  </si>
  <si>
    <t>Paco Tomas</t>
  </si>
  <si>
    <t>Que le hace pensar a Garzón que con una República estaríamos mejor. Alguien se imagina a Torra, Pablo Iglesias, Rajoy, o Zapatero de Presidentes de la República? RT @agarzon: El 48% de los españoles prefiere la República frente al 35% que prefiere la Monarquía. Quizás esta es la razón por la que el CIS no pregunta por la valoración de la monarquía desde hace cuatro años (a pesar de la promesa del PSOE para cambiarlo)</t>
  </si>
  <si>
    <t>https://www.elespanol.com/espana/politica/20181208/errejon-recuperara-bandera-espanola-podemos-francia-envidia/358965067_0.html</t>
  </si>
  <si>
    <t>https://twitter.com/agarzon/status/1071116920852746240
https://m.huffingtonpost.es/amp/2018/12/05/el-48-de-los-espanoles-prefiere-que-espana-sea-una-republica_a_23609576/</t>
  </si>
  <si>
    <t>Banco Sabadell</t>
  </si>
  <si>
    <t>Maramelíes</t>
  </si>
  <si>
    <t>Más propuestas para la gente que vivimos en pueblos, somos más y @ahorapodemos no nos tiene mucho en cuenta. Transporte, sanidad, educación. Caladero olvidado.. @Pablo_Iglesias_ @agarzon</t>
  </si>
  <si>
    <t>Antonio Aguado 🇪🇸</t>
  </si>
  <si>
    <t>Ministerio de Justicia: Pena de prisión de 1 a 4 años para Pablo Iglesias por delito de Odio - ¡Firma la petición!  vía @change_es</t>
  </si>
  <si>
    <t>pic.twitter.com/bSg0CVmxi8</t>
  </si>
  <si>
    <t>http://chng.it/w5bXNVbd</t>
  </si>
  <si>
    <t>Meseta</t>
  </si>
  <si>
    <t>Gatoflauta, antitaurina.</t>
  </si>
  <si>
    <t>Alicante</t>
  </si>
  <si>
    <t>http://www.aguadosat.com</t>
  </si>
  <si>
    <t>Salvador</t>
  </si>
  <si>
    <t>Irán amenaza a Occidente con un "diluvio" de drogas, refugiados y atentados si continúan las sanciones  Otro que también es socio de @Pablo_Iglesias_</t>
  </si>
  <si>
    <t>https://okdiario.com/internacional/2018/12/08/iran-amenaza-occidente-diluvio-drogas-refugiados-atentados-si-continuan-sanciones-3441895/amp</t>
  </si>
  <si>
    <t>GRAAN IN ASS EN ONAFHANKLIKE</t>
  </si>
  <si>
    <t>Carta abierta de Santiago Abascal a Pablo Iglesias: "Lo tienes crudo"  vía @Periodistadigit</t>
  </si>
  <si>
    <t>https://www.periodistadigital.com/opinion/cartas-al-director/2018/12/08/carta-abierta-de-santiago-abascal-a-pablo-iglesias-lo-tienes-crudo.shtml</t>
  </si>
  <si>
    <t>Málaga, Andalucía, España.</t>
  </si>
  <si>
    <t>Ciudadano aficionado a la astronomía.Cansado de tanta injusticia e impunidad,indignado por la deriva europea,España🇪🇸primero.Rock and roll!</t>
  </si>
  <si>
    <t>TABARNIA</t>
  </si>
  <si>
    <t>Las leyes se pueden cambiar.Pero si no las respetas,no esperes que te respete yo a ti.</t>
  </si>
  <si>
    <t>Gala</t>
  </si>
  <si>
    <t>Mira cómo @Pablo_Iglesias_ 😅 RT @elmundoes: Ferreras: "Español y rojo, sí. Independentista ya digo que no"</t>
  </si>
  <si>
    <t>Josefina Meseguer</t>
  </si>
  <si>
    <t>Pablo Iglesias: yo también soy Iglesia(voy a ir a ella dentro d un ratito.A la misa.Voy a pedir a la Madre Inmaculada por vosotros)Mira Pablo,yo soy mayor.Sé muchas cosas pasadas.Por eso voy a decirte q necesitais q los q en vuestra manera d actuar,recapaciteis y no digais barbar</t>
  </si>
  <si>
    <t>https://twitter.com/elmundoes/status/1071214595153498113
https://trib.al/y2WxRDk</t>
  </si>
  <si>
    <t>inicio de una nueva etapa,en busca del Twitter perdido.comenzamos</t>
  </si>
  <si>
    <t>Accaro77</t>
  </si>
  <si>
    <t>Vaya! Se aprueba antes que -y sin- los Presupuestos. Y @Pablo_Iglesias_ en plan mayordomo del @PSOE mintiendo con eso de... qué insolidarios los catalanes si no aprueban los presupuestos porque estarán impidiendo la subida del SMI. Vaya! RT @EPeconomia: El salario mínimo de 900 euros se aprobará este mes, antes de los Presupuestos, para entrar en vigor en enero</t>
  </si>
  <si>
    <t>Lolita Lobby</t>
  </si>
  <si>
    <t>Pablo Iglesias es el mayor enemigo de la democracia  vía @elmundoes</t>
  </si>
  <si>
    <t>https://twitter.com/EPeconomia/status/1070703679777460225
https://www.europapress.es/economia/laboral-00346/noticia-salario-minimo-900-euros-aprobara-mes-antes-presupuestos-entrar-vigor-enero-20181206162943.html</t>
  </si>
  <si>
    <t>https://pbs.twimg.com/media/DtvnUW5WsAE5K1s.jpg</t>
  </si>
  <si>
    <t>https://www.elmundo.es/baleares/2018/12/07/5c0a31e8fc6c83ee428b45c5.html</t>
  </si>
  <si>
    <t>Hold tight to your anger &amp; don't fall to your fears #DonecPerficiam</t>
  </si>
  <si>
    <t>Por el mundo con tacones. Que duro es ser mini tuit star💅</t>
  </si>
  <si>
    <t>CriptosGratis</t>
  </si>
  <si>
    <t>La educacion hay que mamarla y ese enjendro solo mamò terrorismo y odio @Pablo_Iglesias_ Por una España educada y unida vota @vox_es vota a @Santi_ABASCAL #FelizSabado #FelizFinde</t>
  </si>
  <si>
    <t>https://pbs.twimg.com/media/Dt5tQzZWoAEoo_w.jpg</t>
  </si>
  <si>
    <t>jose lorenzo</t>
  </si>
  <si>
    <t>Madrid, España</t>
  </si>
  <si>
    <t>La mejor manera de ganar criptomonedas gratuitamente. No importa lo que valga hoy ,sino cuánto valdrá en el futuro.</t>
  </si>
  <si>
    <t>http://criptosgratis.blogspot.com.es/</t>
  </si>
  <si>
    <t>Cabreo Político</t>
  </si>
  <si>
    <t>Hola! @sanchezcastejon @Pablo_Iglesias_ @Albert_Rivera @Santi_ABASCAL @pablocasado_</t>
  </si>
  <si>
    <t>lanzarote(islas canarias).</t>
  </si>
  <si>
    <t>Hacer publicidad y generar trafico hacia tu multinivel.</t>
  </si>
  <si>
    <t>http://africanpower777.land.giracoin-bank.com/</t>
  </si>
  <si>
    <t>https://pbs.twimg.com/media/Dt5s3bgXgAE0qSx.png</t>
  </si>
  <si>
    <t>Análisis Cabreo político en Twitter</t>
  </si>
  <si>
    <t>Inmaculada</t>
  </si>
  <si>
    <t>FRANCISCO FLORES</t>
  </si>
  <si>
    <t>La cutrez de Pablo M. Iglesias -</t>
  </si>
  <si>
    <t>https://www.esdiario.com/483221721/Errejon-apunala-a-Iglesias-y-critica-su-alerta-antifascista-Mas-autocritica.html</t>
  </si>
  <si>
    <t>http://www.lanuevaandalucia.com/opinion/la-cutrez-de-pablo-m-iglesias/</t>
  </si>
  <si>
    <t>Nicole lorenne✋🇪🇸</t>
  </si>
  <si>
    <t>Alguien save quedia esta disponible el chepas @Pablo_Iglesias_ ? Para pasarle el decimo de loteria a ver si toca😂</t>
  </si>
  <si>
    <t>ESPAÑOLA</t>
  </si>
  <si>
    <t>👤</t>
  </si>
  <si>
    <t>Málaga</t>
  </si>
  <si>
    <t>Me explico por la curiosidad, me encelan la amistad y el conocimiento y mantengo mis convicciones con la vital certeza de la duda.</t>
  </si>
  <si>
    <t>http://page.is/francisco-flores</t>
  </si>
  <si>
    <t>De Madrid en Ginebra🇨🇭🇪🇸</t>
  </si>
  <si>
    <t>Antes muerta que sencilla ✋🇪🇸 el arte como expresión de vida en todas sus facetas. admiradora de S.Dali ,María Kreyn M.Knopfler y Franco</t>
  </si>
  <si>
    <t>COPE</t>
  </si>
  <si>
    <t>El que propone fundar la III República "solo si logramos asociarnos a Portugal", el que quiere "frenar el hauje (sic) de la extrema derecha" o el que es "récord del mundo en youtube". Los singulares rivales de Pablo Iglesias en las primarias de Podemos</t>
  </si>
  <si>
    <t>http://ww.cope.es/8bbhz2</t>
  </si>
  <si>
    <t>PIOJEMOS🚿🚫</t>
  </si>
  <si>
    <t>El no saber perder y sobre todo el ODIO te deja esta cara . @ahorapodemos @Pablo_Iglesias_</t>
  </si>
  <si>
    <t>pic.twitter.com/c3p0U3bMWR</t>
  </si>
  <si>
    <t>Está pasando, estás en COPE 📻 Toda la información 💻, el mejor equipo de la radio deportiva🏅, el mejor entretenimiento y podcast 🎙️</t>
  </si>
  <si>
    <t>Caracas, Venezuela</t>
  </si>
  <si>
    <t>Nos duchamos una vez al mes.</t>
  </si>
  <si>
    <t>http://www.cope.es</t>
  </si>
  <si>
    <t>En Cuerpo Y Alma</t>
  </si>
  <si>
    <t>Hijos de la gran puta. @ahorapodemos @PSOE @sanchezcastejon @Pablo_Iglesias_ RT @RamonMateos30: El autobús atrapado en la AP-7 en L’Ampolla con niños pequeños pasando hambre y sed, que incluso han llamado al 112…,¿Es un autobús del @VillarrealCF infantil que se desplazaban para jugar un partido de fútbol benéfico contra el cáncer? Qué hijos de la gran… 😡 NO tiene perdón</t>
  </si>
  <si>
    <t>https://twitter.com/RamonMateos30/status/1071394949705412609</t>
  </si>
  <si>
    <t>unomas</t>
  </si>
  <si>
    <t>En cualquier parte de tú mundo</t>
  </si>
  <si>
    <t>maikel_lejio</t>
  </si>
  <si>
    <t>Los que se aplican la humildad en su partido y después vive con lujo" Como casa, chalet, coche etc... eso es el primer fallo que los españoles castiga en las urnas. Esto va para todos. Ser humilde significa aplicarselo a uno mismo @Pablo_Iglesias_ @ahorapodemos @PSOE #FelizSabado</t>
  </si>
  <si>
    <t>(El Enemigo No Es el Artista sino quién lo Controla...) (El Enemigo No Es el Dinero Sino Quién lo Administra...) (El Enemigo No Es el Mundo Sino uno Mismo...)</t>
  </si>
  <si>
    <t>Arcàdia Lliure</t>
  </si>
  <si>
    <t>Un detalle sutil: @agarzon y @Pablo_Iglesias_ han empezado a llamar “España” al estado español. ¿A qué es debido este giro?</t>
  </si>
  <si>
    <t>Emetent amb la freqüència prohibida 6050, aquesta és la veu d'Arcadia Lliure. Clase obrera ☭. Soy Hufflepuff y un orgulloso sangre sucia.</t>
  </si>
  <si>
    <t>Edu</t>
  </si>
  <si>
    <t>https://www.larazon.es/espana/el-dia-que-julio-anguita-pidio-el-voto-para-la-extrema-derecha-IP20859010</t>
  </si>
  <si>
    <t>Los amigos de @Pablo_Iglesias_ y @ahorapodemos RT @okdiario: Irán amenaza a Occidente con un “diluvio” de drogas, refugiados y atentados si continúan las sanciones</t>
  </si>
  <si>
    <t>https://twitter.com/okdiario/status/1071404559245950977
https://okdiario.com/internacional/2018/12/08/iran-amenaza-occidente-diluvio-drogas-refugiados-atentados-si-continuan-sanciones-3441895?utm_term=Autofeed&amp;utm_campaign=ok&amp;utm_medium=Social&amp;utm_source=Twitter#Echobox=1544277031</t>
  </si>
  <si>
    <t>Alejandro</t>
  </si>
  <si>
    <t>El recado de Bertín Osborne a Pablo Iglesias y Gabriel Rufián</t>
  </si>
  <si>
    <t>Ourense</t>
  </si>
  <si>
    <t>#TeamInstinct #TL40 Don't surrender if you believe. Catholic and Conservative. Política y Pokemon GO. #HalaMadrid</t>
  </si>
  <si>
    <t>http://dlvr.it/Qt8GFk</t>
  </si>
  <si>
    <t>https://pbs.twimg.com/media/Dt6CSR-UUAE2Z7J.jpg</t>
  </si>
  <si>
    <t>LaPelirroja</t>
  </si>
  <si>
    <t>Fuera Dictaduras, fuera Comunismo. Viva la Libertad!! @Pablo_Iglesias_ @pnique @sanchezcastejon @vox_es @desdelamoncloa @Tonicanto1 @pablocasado_ @Santi_ABASCAL RT @alsan73: @Santi_ABASCAL</t>
  </si>
  <si>
    <t>Lic.Adm Mención Mercadeo- Social Media Manager</t>
  </si>
  <si>
    <t>http://360disruptive.com/</t>
  </si>
  <si>
    <t>https://twitter.com/alsan73/status/1071376559771189253</t>
  </si>
  <si>
    <t>https://pbs.twimg.com/media/Dt5LS0IXgAARaqF.jpg</t>
  </si>
  <si>
    <t>Enrique de Diego</t>
  </si>
  <si>
    <t>Carta a Pablo Iglesias: Eres un botarate rancio al que sólo votan las emporradas - Rambla Libre</t>
  </si>
  <si>
    <t>Planeta Rojo</t>
  </si>
  <si>
    <t>Nunca dejes de Soñar ❤</t>
  </si>
  <si>
    <t>http://ramblalibre.com/2018/12/08/carta-a-pablo-iglesias-eres-un-botarate-rancio-al-que-solo-votan-las-emporradas/#.XAvsdvuQuG8.twitter</t>
  </si>
  <si>
    <t>Periodista y escritor. Presidente de Plataforma de las Clases Medias. Autor de Casta parasitaria, El manifiesto de las clases medias y La monarquía inútil</t>
  </si>
  <si>
    <t>http://www.ramblalibre.com</t>
  </si>
  <si>
    <t>Oyd Opinión y debate 🇪🇸</t>
  </si>
  <si>
    <t>Gracias @Pablo_Iglesias_ y @sanchezcastejon RT @vox_es: ⚠ El sistema de afiliación de VOX se colapsa tras superar los 20.000 afiliados. 🔧 Se espera que el lunes el problema esté resuelto y se puedan recibir nuevas afiliaciones. ↗ Hemos pasado de los 3.500 de agosto de 2017 a más de 20.500 esta semana. 💪</t>
  </si>
  <si>
    <t>Unidad Nacional Esp</t>
  </si>
  <si>
    <t>https://twitter.com/vox_es/status/1071101123476508672
https://mailchi.mp/voxespana/el-sistema-de-afiliacin-de-vox-se-colapsa-tras-superar-los-20000-afiliados</t>
  </si>
  <si>
    <t>https://pbs.twimg.com/media/Dt1QwNIW0AIbC1q.jpg</t>
  </si>
  <si>
    <t>Barcelona, España</t>
  </si>
  <si>
    <t>Pasión por el debate político, por la importancia que tiene la política en nuestra vida cotidiana.</t>
  </si>
  <si>
    <t>http://www.opinionydebate.es</t>
  </si>
  <si>
    <t>Es un deber y un derecho de todos los españoles, defender la Unidad de España.</t>
  </si>
  <si>
    <t>https://www.facebook.com/pages/Unidad-Nacional-Espa%C3%B1ola/486217364760580?ref=stream</t>
  </si>
  <si>
    <t>Montserrat</t>
  </si>
  <si>
    <t>DonCarlos</t>
  </si>
  <si>
    <t>Os invito a intentar hacer lo mismo delante de la Moncloa donde vive @sanchezcastejon o delante de la mansión de @Pablo_Iglesias_ e @Irene_Montero_. En menos de 5 minutos estabais en un furgón camino de comisaría y con la etiqueta de peligrosos fascistas. RT @yosoynaranjito_: Varios conductores se encaran con los CDR encapuchados después de que estos hayan tenido cortada la AP-7 varias horas. Hoy los Mossos no han hecho absolutamente nada, cualquier dia lamentaremos una desgracia. ¡El Ministerio del Interior debería actuar ya!</t>
  </si>
  <si>
    <t>http://chng.it/tbzcPr9Q</t>
  </si>
  <si>
    <t>https://twitter.com/yosoynaranjito_/status/1071351219535396864?s=19</t>
  </si>
  <si>
    <t>Spain</t>
  </si>
  <si>
    <t>Nacida en León. Ciudadana del mundo con parada en Asturias, Cataluña y Texas. Filologa anglo-germana que vive y deja vivir.</t>
  </si>
  <si>
    <t>pic.twitter.com/zq4IxlQ7iQ</t>
  </si>
  <si>
    <t>Aviador.</t>
  </si>
  <si>
    <t>Sevilla, España</t>
  </si>
  <si>
    <t>Alberto Asensi</t>
  </si>
  <si>
    <t>Tiene guasa que el vicepresidente del gobierno de España, el comunista @Pablo_Iglesias_, quiera esto para los españoles mientras él vive en una mansión, a donde le llevan la compra, siempre copiosa. RT @cristiancrespoj: En sus marcas, listos, HAMBRE! Ya quisiera ver a los intelectualoides de izquierda y a los cerebros fritos comunistas del mundo en una maratón como esa para conseguir un pedazo de hueso y pellejo d cerdo. Maldito Castro, maldito @DiazCanelB, malditos hipócritas, maldito comunismo</t>
  </si>
  <si>
    <t>https://twitter.com/cristiancrespoj/status/1071201582988124161</t>
  </si>
  <si>
    <t>pic.twitter.com/c77Ng4N0u5</t>
  </si>
  <si>
    <t>De Entretenimiento !</t>
  </si>
  <si>
    <t>No soy periodista. No vivo de lo que escribo. Lamento ambas cosas, pero las dos convierten en deliciosamente peligrosas mis palabras.</t>
  </si>
  <si>
    <t>I added a video to a @YouTube playlist  Pablo Iglesias se desespera al quedarse solo en su "cacería" al Rey</t>
  </si>
  <si>
    <t>http://youtu.be/N1TmMZQlth8?a</t>
  </si>
  <si>
    <t>White Vikingo</t>
  </si>
  <si>
    <t>Desde pequeñito @Pablo_Iglesias_ ama a Franco</t>
  </si>
  <si>
    <t>spain</t>
  </si>
  <si>
    <t>El canal superior para noticias de entretenimiento, temas sociales. Subiremos video diariamente para satisfacer su curiosidad, noticias de celebridades...</t>
  </si>
  <si>
    <t>https://www.youtube.com/channel/UCfK2E_-PvYyMdJFhpFwHQ9A</t>
  </si>
  <si>
    <t>https://pbs.twimg.com/media/Dt5i6LQXQAAhKg7.jpg</t>
  </si>
  <si>
    <t>Ateo, Anti-Islámico, Español y del Real Madrid. Me gustan las verdades como puños, odio a la casta política, las puertas giratorias y a la prensa manipuladora</t>
  </si>
  <si>
    <t>https://twitter.com/Bcnisnotcat_/status/1070375084420988929</t>
  </si>
  <si>
    <t>https://pbs.twimg.com/media/Dtq8M2DXgAEh9wE.jpg</t>
  </si>
  <si>
    <t>Nacho Rodri</t>
  </si>
  <si>
    <t>Bertín Osborne: "A Pablo Iglesias no le voto ni muerto, ni harto de vino"  vía @elmundoes</t>
  </si>
  <si>
    <t>https://www.elmundo.es/loc/famosos/2018/12/08/5c0a3ffffc6c8320198b45e5.html</t>
  </si>
  <si>
    <t>Sergei L. Brandoni</t>
  </si>
  <si>
    <t>No entiendo a los que bloquean a los de @obloque o @ahorapodemos, cuando lo más lógico es reenviar sus disparates. Yo creo que es importante que se conozca a @Pablo_Iglesias_ o a su fámula @Irene_Montero_. Es la mejor manera de que gane @vox_es</t>
  </si>
  <si>
    <t>Abonado del Atleti desde 1982. Fan de Star Wars. Valverdano de adopción. Entusiasta de Isaac Asimov. Amante del Rock Sinfónico.</t>
  </si>
  <si>
    <t>marisa paredes</t>
  </si>
  <si>
    <t>Bertín Osborne hunde en la miseria a Pablo Iglesias: "Yo no le voto ni muerto y ni borracho de vino"  vía @Periodistadigit</t>
  </si>
  <si>
    <t>Ferrol</t>
  </si>
  <si>
    <t>Ferrolano., español, católico y soñador. https://www.facebook.com/profile.php?id=100007909083442</t>
  </si>
  <si>
    <t>https://niebladebrandoni.blogspot.com.es/?m=1</t>
  </si>
  <si>
    <t>🇪🇸 la Verdad siempre Emerge</t>
  </si>
  <si>
    <t>https://www.periodistadigital.com/ocio-y-cultura/gente/2018/12/08/bertin-osborne-hunde-miseria-pablo-iglesias-no-voto-muerto-borracho-vino.shtml</t>
  </si>
  <si>
    <t>Salva CR</t>
  </si>
  <si>
    <t>Uno puede ser #republicano y ser una persona educada. El #líder de #Podemos parece incapaz de entenderlo.</t>
  </si>
  <si>
    <t>Israelico💙💚👑🇪🇸🏳️‍🌈</t>
  </si>
  <si>
    <t>Franco, ¿estás ahí? @pablo_iglesias_</t>
  </si>
  <si>
    <t>https://pbs.twimg.com/media/Dt5idBHWkAA_F18.jpg</t>
  </si>
  <si>
    <t>http://www.outono.net/elentir/2018/12/07/el-rey-llamo-a-pablo-iglesias-para-preocuparse-por-sus-hijos-y-asi-se-lo-ha-agradecido-iglesias/</t>
  </si>
  <si>
    <t>Reinado Español de Cristo</t>
  </si>
  <si>
    <t>#ESPAÑOL #patriota #HOMOSEXUALdecente #StopIdeologiaDeGenero #antimasón #anticomunista #antisionista #CRISTIANO #provida .. de @vox_es 👉..y #FACHA🤣</t>
  </si>
  <si>
    <t>Madrid, Reino de España</t>
  </si>
  <si>
    <t>No me tengo por más que nadie, pero tampoco por menos que ninguno. Tío orgulloso de Alejandro y Jimena. @_israelico_ #CM #SEO #VERDE #redactor 💚👑🇪🇸🏳️‍🌈</t>
  </si>
  <si>
    <t>http://Instagram.com/israelico</t>
  </si>
  <si>
    <t>Los Barrios (Cádiz)</t>
  </si>
  <si>
    <t>You only live once but if you do it right. ONCE IS ENOUGH</t>
  </si>
  <si>
    <t>Aliado Feminazi 🎗</t>
  </si>
  <si>
    <t>Hola @pnique @ierrejon @MonederoJC @agarzon @Pablo_Iglesias_ @AdaColau @ahorapodemos @iunida y demás defendores de este sistema fallido. No decís nada? Si pasara en Palestina estaríais como locos. Después q por q la gente ya no os cree RT @Carola2hope: Ocho (8) niños muertos en menos de 24 horas en el hospital central de Maracay, morían uno tras otros. Doctores tenían que tomar la dura decisión de a cuál niño de los 20 internados darle oxígeno de la única bombona existente en el lugar.</t>
  </si>
  <si>
    <t>https://twitter.com/Carola2hope/status/1071127505627541504</t>
  </si>
  <si>
    <t>Madrid</t>
  </si>
  <si>
    <t>El Oeste</t>
  </si>
  <si>
    <t>Lazi 🎗 Planchabragas profesional. Intento parecer feminista a ver si me como algún coño. Abajo el patriarcado! (excepto si son morenos) #UngaUngaArmy</t>
  </si>
  <si>
    <t>Toldo Ghoul</t>
  </si>
  <si>
    <t>Pablo iglesias es un ghoul vaya sorpresita los comunistas haciendo de las suyas de nuevo</t>
  </si>
  <si>
    <t>Yeray Santana</t>
  </si>
  <si>
    <t>Está la gente retenida en la AP-7 en el momento ideal para que Tezanos les pregunté por intención de voto en el CIS. @sanchezcastejon @Pablo_Iglesias_ @pablocasado_ @Albert_Rivera</t>
  </si>
  <si>
    <t>joel</t>
  </si>
  <si>
    <t>https://curiouscat.me/joelsiese</t>
  </si>
  <si>
    <t>Earl of Winterfell</t>
  </si>
  <si>
    <t>Periodista Digital</t>
  </si>
  <si>
    <t>Enfermero de Cuidados Intensivos. RN MsC Doctorando @UJI_noticias Intentando ser un poco mejor cada día</t>
  </si>
  <si>
    <t>Traveller- Entrepreneur - 👬 - Father of Gus 🐶 - Crossfit - Views are my own 🏳️‍🌈🇪🇸</t>
  </si>
  <si>
    <t>Lunanueva 💜</t>
  </si>
  <si>
    <t>Pero que ellos no vengan a reventar nuestros mítines, eh? A ver si me voy a tener que quedar en casa... 😒Más reflexión, responsabilidad y autocrítica en la izquierda. #convencerparasunaryvencer @Pablo_Iglesias_ @pnique @ahorapodemos RT @JORGE_28030: Honor a la gente que estos días está saliendo a la calle en Andalucía, Terrassa o Girona a plantar cara a la ultraderecha. Gracias. Que cunda el ejemplo y siempre encuentren respuesta allá donde estén. Siempre antifascistas.</t>
  </si>
  <si>
    <t>https://twitter.com/jorge_28030/status/1070791924297162753</t>
  </si>
  <si>
    <t>Rodeada de pperos, cuñaos y "socialdemócratas"....DESESPERADA...</t>
  </si>
  <si>
    <t>Yunque 4 Life</t>
  </si>
  <si>
    <t>Lentes piteros ✔️ Podemita de mierda ✔️ (Que asco ser adorador del coletas Pablito Iglesias y de R2D2 Pablo Echenique) me alegro por la putiza que recibieron en Andalucia! @abrahamendieta formas parte de la mierda humana y de los #RostrosDeLa4T</t>
  </si>
  <si>
    <t>https://pbs.twimg.com/media/Dt5-UAQVsAAuHJL.jpg</t>
  </si>
  <si>
    <t>Luis.</t>
  </si>
  <si>
    <t>Maldito #Comunismo y todo aquel que quiera tener esta locura en su país!!!!!!! @PartidoPSUV @ahorapodemos @pnique @sanchezcastejon #iñigoerrejon @nicolasmaduro01 @CelaaIsabel @MonederoJC @Pablo_Iglesias_ RT @cristiancrespoj: En sus marcas, listos, HAMBRE! Ya quisiera ver a los intelectualoides de izquierda y a los cerebros fritos comunistas del mundo en una maratón como esa para conseguir un pedazo de hueso y pellejo d cerdo. Maldito Castro, maldito @DiazCanelB, malditos hipócritas, maldito comunismo</t>
  </si>
  <si>
    <t>Enseñar sin palabras y actuar sin acciones, pocos en el mundo pueden entenderlo.</t>
  </si>
  <si>
    <t>antonio la ley</t>
  </si>
  <si>
    <t>Albert #PaísValencià</t>
  </si>
  <si>
    <t>Si se puede criticar a @Pablo_Iglesias_ porque se le compara con Nicolás Maduro, podemos criticar a @Albert_Rivera por lo propio con Emmanuel Macron, ¿no? ¿¿NO?? Campos Elíseos #Francia #París #ChalecosAmarillos #GiletsJaunes</t>
  </si>
  <si>
    <t>València</t>
  </si>
  <si>
    <t>Psicología aldeana. ¿El café? Con poco azúcar. Vamos a por la Tercera.</t>
  </si>
  <si>
    <t>Wysh</t>
  </si>
  <si>
    <t>Pablo iglesias: "Te"</t>
  </si>
  <si>
    <t>🗽 Carlos Pralar 🆓✌</t>
  </si>
  <si>
    <t>Hola, @pablo_iglesias_ Art 18.1 CPenal: “La provocación existe cuando directamente se incita por medio de la imprenta, la radiodifusión o cualquier otro medio de eficacia semejante, que facilite la publicidad, o ante una concurrencia de personas, a la perpetración de un delito”</t>
  </si>
  <si>
    <t>Andalucía, España</t>
  </si>
  <si>
    <t>Carlos eres muy amargado sonríe a la puta vida que solo hay una, vas a morir de amargura a los 30, gordo, feo, calvo virgen</t>
  </si>
  <si>
    <t>http://curiouscat.me/Wysh</t>
  </si>
  <si>
    <t>Madrid - España - EURSS</t>
  </si>
  <si>
    <t>ABOGADO/LIBERAL/LIBERTARIAN Socialismo es robo. Anticomunista, y por tanto antifascista. Por el CAPITALISMO y el MERCADO LIBRE (ojalá pronto en España) PRO VIDA</t>
  </si>
  <si>
    <t>Carlos Gutiérrez🔻</t>
  </si>
  <si>
    <t>La esquizofrenia es ya habitual en la dirección de @ahorapodemos. Si Vox no es nada nuevo, si ya estaba en el panorama político, ¿a qué viene la “alerta anti fascista” decretada por @Pablo_Iglesias_ la noche electoral? #ComoPollosSincabeza @pnique RT @pnique: Vox no es nada nuevo. Es la pata más franquista, racista y machista del viejo proyecto de Aznar. Un proyecto, por cierto, que tiene como eje fundamental la subordinación de España a los intereses de EEUU. PP, C's y Vox, los patriotas de cartón-piedra. 🇺🇸</t>
  </si>
  <si>
    <t>Caprichos de Nieves</t>
  </si>
  <si>
    <t>Pablo Iglesias es el mayor enemigo de la democracia</t>
  </si>
  <si>
    <t>https://twitter.com/pnique/status/1071345929343696897
https://www.eldiario.es/politica/Aznar-Vox-allanan-PP-extrema_0_843066482.html</t>
  </si>
  <si>
    <t>Desfederado pero sin "rencor". Por una política con menos retórica.</t>
  </si>
  <si>
    <t>📢 Únete a VOX por un futuro próspero y feliz🇪🇸✝</t>
  </si>
  <si>
    <t>"Miles de españoles firman para que Pablo Iglesias sea condenado a prisión por delito de odio contra VOX"</t>
  </si>
  <si>
    <t>NEO SyR ❤️💛💜 🇪🇺</t>
  </si>
  <si>
    <t>Reflexionemos @Pablo_Iglesias_ @ahorapodemos @IU @PSOE ‘Normalizar’ a Vox | @ctxt_es @miguelpasquau</t>
  </si>
  <si>
    <t>#HacerEspañaGrandeOtraVez</t>
  </si>
  <si>
    <t>Urge un gobierno patriota, valiente, sensato y honesto que proteja la seguridad, paz, prosperidad, valores e identidad cristiana de los españoles, como hace VOX</t>
  </si>
  <si>
    <t>http://bit.ly/2E9LBNj</t>
  </si>
  <si>
    <t>Pablo iglesias te madre De Dios estos comulocos a donde vamos a parar</t>
  </si>
  <si>
    <t>LIBERTAD IGUALDAD FRATERNIDAD JUSTICIA=Antifascista#SíSePuede.Ignoro tip@s con 🇪🇸 (salvo excepciones) 'El sabio puede cambiar de opinión. El necio, nunca' Kant</t>
  </si>
  <si>
    <t>𝕴𝖛𝖆𝖓 𝕻𝖑𝖛𝖘 𝖁𝖑𝖙𝖗𝖆 🇪🇸</t>
  </si>
  <si>
    <t>Hay clases de personas, como @Pablo_Iglesias_ y hay personas con clase, como S.A.R. Don Felipe VI @CasaReal Qué pronto perdemos la memoria para lo que queremos Pablo. #Infantería #InmaculadaConcepción</t>
  </si>
  <si>
    <t>https://bit.ly/2E8PfHk</t>
  </si>
  <si>
    <t>http://ramblalibre.com/2018/12/08/carta-a-pablo-iglesias-eres-un-botarate-rancio-al-que-solo-votan-las-emporradas/#.XAvnufQSInA.twitter</t>
  </si>
  <si>
    <t>Queriendo que España vuelva a ser grande! 🇪🇸❎ Algunas aclaraciones sobre mi perfil de Twitter 👉 https://telegra.ph/Aclaraciones-sobre-mi-perfil-de-Twitter-12-05</t>
  </si>
  <si>
    <t>Montserrat Varela Navarro</t>
  </si>
  <si>
    <t>Porque las sociedades vasca, navarra, catalana y valenciana son las únicas que plantan cara a la derecha activamente. Una realidad que la izquierda "progre" no quiere ver @pnique @ahorapodemos @Pablo_Iglesias_ @AntonioMaestre @agarzon @iunida @PodemosCongreso @PSOE @PSC RT @publico_es: ENTREVISTA | Rufián: "En Catalunya, muchos llegan al independentismo a través del antifascismo"  Por @tableroglobal</t>
  </si>
  <si>
    <t>LOBEZNO</t>
  </si>
  <si>
    <t>El recado de Bertín Osborne a Pablo Iglesias y Gabriel Rufián  vía @marca</t>
  </si>
  <si>
    <t>https://twitter.com/publico_es/status/1071164699608199168
https://www.publico.es/politica/entrevista-rufian-catalunya-llegan-independentismo-traves-antifascismo.html?utm_source=twitter&amp;utm_medium=social&amp;utm_campaign=publico</t>
  </si>
  <si>
    <t>https://www.marca.com/tiramillas/actualidad/2018/12/08/5c0bb52022601dd0208b465d.html</t>
  </si>
  <si>
    <t>München</t>
  </si>
  <si>
    <t>Übersetzerin/Lektorin/Autorin Deutsch - Spanisch/Katalanisch. Traductora, correctora y autora de español en Alemania.</t>
  </si>
  <si>
    <t>http://www.puntoyaparte.de</t>
  </si>
  <si>
    <t>Vicente Martinez</t>
  </si>
  <si>
    <t>Toma @Pablo_Iglesias_ compáralo con lo que traes tú a la política...saludos RT @Ivan_Pietri: Mientras los de Podemos son; antisistema, exconvictos, procesados por delitos, okupas, comunistas y ninis que nunca han trabajado en su vida...</t>
  </si>
  <si>
    <t>https://twitter.com/ivan_pietri/status/1071386829247692800
https://twitter.com/VOXSevilla/status/1071090988142223360</t>
  </si>
  <si>
    <t>felipos49</t>
  </si>
  <si>
    <t>Sr. Fiscal General del Estado. El discurso de Pablo Iglesias después de las elecciones de Andalucía incitando al odio y la violencia contra los votantes de otros partidos constituye un delito flagrante. Que ha hecho ud al respecto? Si no ejerce, váyase ya.</t>
  </si>
  <si>
    <t>Soy una persona que cree en la justicia, soy autónomo y emprendedor. Y a pesar de los políticos actuales , creo que España merece la pena, aunque ellos no...</t>
  </si>
  <si>
    <t>María Estucardo</t>
  </si>
  <si>
    <t>Da gusto leer a @Pablo_Iglesias_ y a @EnricJuliana en " Nudo España". Me pregunto porqué en los debates políticos no se utiliza este nivel y nos machacan con frases de Perogrullo, como pensando que el votante, necesariamente está falto de entendederas.</t>
  </si>
  <si>
    <t>Vzaino➰</t>
  </si>
  <si>
    <t>http://ramblalibre.com/2018/12/08/carta-a-pablo-iglesias-eres-un-botarate-rancio-al-que-solo-votan-las-emporradas/#.XAvnOBhc--F.twitter</t>
  </si>
  <si>
    <t>Yo</t>
  </si>
  <si>
    <t xml:space="preserve">Gijon </t>
  </si>
  <si>
    <t>Andábamos. sin buscarnos pero sabiendo que andábamos para encontrarnos ( Cortazar)</t>
  </si>
  <si>
    <t>United States</t>
  </si>
  <si>
    <t>Pablo Iglesias e Irene Montero ponen sus cargos a disposición de Podemos tras la polémica de su chalé: Un millón de euros: la herencia de Pablo Iglesias para pagar el chalé. La hipoteca del chalé que han comprado Pablo Iglesias e Irene Montero es la…</t>
  </si>
  <si>
    <t>cristian jimenez</t>
  </si>
  <si>
    <t>He ido a comprar el pan y me encuentro a 5 ...en la plaza de mi casa intentando captar votos de odio,intentando crispar unos ánimos ya medio olvidados aunque no del todo. @vox_es @ahorapodemos @Pablo_Iglesias_ @policia ( muy buen trabajo por cierto xD, protegiendo a los que odian</t>
  </si>
  <si>
    <t>http://dlvr.it/Qt8BDx</t>
  </si>
  <si>
    <t>https://pbs.twimg.com/media/Dt58VX_U4AEJrJ0.jpg</t>
  </si>
  <si>
    <t>https://pbs.twimg.com/media/Dt5UeOyWoAAb2-W.jpg</t>
  </si>
  <si>
    <t>Consumer Credit Counseling, United States call (800) 254-4100 http://consumercounseling.org/ http://consumercounseling.org/wage-garnishment-and-attachment-united-states/ http://consumercounseling.org/credit-repair-in-united-states/ http://consumercounseling.org/car-repossession-united-states/</t>
  </si>
  <si>
    <t>http://consumercounseling.org/</t>
  </si>
  <si>
    <t>https://www.20minutos.es/noticia/3508831/0/carta-viral-abierta-andaluz-medico-pablo-iglesias-cuando-usted-predica-pobreza-pero-compra-chale-nace-fascista-elecciones-andalucia-2018-podemos-vox/?utm_source=twitter.com&amp;utm_medium=socialshare&amp;utm_campaign=desktop</t>
  </si>
  <si>
    <t xml:space="preserve">moratalaz  </t>
  </si>
  <si>
    <t>Homer Bailónن</t>
  </si>
  <si>
    <t>🇪🇸🇪🇸@ierrejon🇪🇸🇪🇸, recordarte q ninguna de estas bandera es la española. @AhoraMadrid @ahorapodemos @Pablo_Iglesias_ #ErrejonFacha #ErrejonFascista #PodemosFascistas 😂😂😂</t>
  </si>
  <si>
    <t>https://pbs.twimg.com/media/Dt5TI8AXQAAG_1-.jpg</t>
  </si>
  <si>
    <t>Springfield, USA</t>
  </si>
  <si>
    <t>De una puta y de un socialista, nació el primer comunista. #La14EnElWanda</t>
  </si>
  <si>
    <t>Este es el personaje que habla de la "extrema derecha".</t>
  </si>
  <si>
    <t>http://www.outono.net/elentir/2014/11/12/pablo-iglesias-reconoce-que-se-ha-dejado-usar-por-iran-para-desestabilizar-espana/</t>
  </si>
  <si>
    <t>Sevilla</t>
  </si>
  <si>
    <t>Roberto Alcazar</t>
  </si>
  <si>
    <t>La verdadera cara del Coletas @Pablo_Iglesias_, el que siente ENVIDIA de lo bien que viven en Venezuela, el que quiere salir a partir la cara a los fachas con los que discute, el que QUIERE EXPROPIAR CASAS porque eso es DEMOCRÁTICO. ¡¡Ojo con ese BICHO!!</t>
  </si>
  <si>
    <t>https://youtu.be/PZ0LF0hPA9s</t>
  </si>
  <si>
    <t>Mari Carmen #FreeTabarnia #SanchezDimision</t>
  </si>
  <si>
    <t>Políticos Podemitas y Secesionistas me BLOQUEAN. ¡Qué poco les gusta a estos FASCISTAS las críticas! Si REBUZNAN, buena señal, voy bien. Seguiremos informando.</t>
  </si>
  <si>
    <t>Que dice Pablo Iglesias que, como sabe que Pablo Casado será el próximo presidente del Gobierno elegido en las urnas, Vox es el PP de Aznar pero que el no es chavista 👇👇👇</t>
  </si>
  <si>
    <t>https://pbs.twimg.com/media/Dt58KvVWkAEPK07.jpg</t>
  </si>
  <si>
    <t>Excepto Dios, nadie es lo suficientemente importante en tu vida para amargártela. ( Pedro Altuna)</t>
  </si>
  <si>
    <t>Wally 🇮🇨 🇪🇸</t>
  </si>
  <si>
    <t>Hijos de puta, la que han liado... En compañía y complicidad de @QuimTorraiPla @Pablo_Iglesias_ y @sanchezcastejon cada uno peor que el otro... A cada cochino le llega su San Martín... RT @IngridOctubre: @sanchezcastejon Qué tiene que decir? @Pablo_Iglesias_ y ud. ? Tampoco nada????????!!!!!!</t>
  </si>
  <si>
    <t>https://twitter.com/IngridOctubre/status/1071381369597632513
https://twitter.com/Schuma78/status/1070999672238587905</t>
  </si>
  <si>
    <t>Juana Laorate 🇪🇸✝</t>
  </si>
  <si>
    <t>Islas Afortunadas, El Paraíso</t>
  </si>
  <si>
    <t>Hay una fuerza motriz más poderosa que el vapor, la electricidad y la energía atómica: LA VOLUNTAD - Albert Einstein</t>
  </si>
  <si>
    <t>Aprendiz de todo, maestro de nada</t>
  </si>
  <si>
    <t>miguel gacio armendariz</t>
  </si>
  <si>
    <t>Como se le llama a alguien que no respeta los resultados de las elecciones democráticas ,y que con el 17% de los votos sabe lo que quieren todos los españoles @pnique @Pablo_Iglesias_ y el perrito faldero @agarzon ???? #FelizSábado</t>
  </si>
  <si>
    <t>Roaldcs</t>
  </si>
  <si>
    <t>Populistas como Pablo Iglesias o Santi Abascal hablan en nombre del pueblo frente a las elites criminales del hiperestado clientelar y sus aliados. Con portavoces asi, se siente usted “del pueblo”?</t>
  </si>
  <si>
    <t>Salamanca</t>
  </si>
  <si>
    <t>Empresario Salmantino/marketing digital. Vive y deja vivir sin el inicio de coacción. Necesitamos derrumbar el muro del hiperestado clientelar como Berlin 1989.</t>
  </si>
  <si>
    <t>"El poder más peligroso, es el del que manda pero no gobierna". Torrente Ballester. Narón mi ciudad.Ferrol (canido) mi cuna.Profesor hosteleria. @ciudadanos</t>
  </si>
  <si>
    <t>http://www.fundalib.org</t>
  </si>
  <si>
    <t>MadridFootballClub</t>
  </si>
  <si>
    <t>Esperando esta felicitación de @sanchezcastejon @pablocasado_ @Albert_Rivera @Pablo_Iglesias_ @agarzon... RT @Santi_ABASCAL: Felicidades a todos en el día de la Patrona de España y de la Infantería. #PatronaDeEspaña #Infanteria</t>
  </si>
  <si>
    <t>https://twitter.com/Santi_ABASCAL/status/1071357700410408960
http://www.outono.net/elentir/2018/12/08/el-milagro-de-empel-asi-llego-la-inmaculada-concepcion-a-erigirse-en-patrona-de-espana/?fbclid=IwAR37t6JvYI32KEn8F0Wl22kUnSh2pXY343PbmUc51tt6wwRFf-ts_1LpLdc</t>
  </si>
  <si>
    <t>https://pbs.twimg.com/media/Dt46JVyWoAAHZUn.jpg</t>
  </si>
  <si>
    <t>Madridista disidente,Odio al futbol moderno...</t>
  </si>
  <si>
    <t>Francis Cofran</t>
  </si>
  <si>
    <t>Ruben Dario</t>
  </si>
  <si>
    <t>...el "camino PODEMITA"..(título para un aguinaldo)... @Pablo_Iglesias_ @Santi_ABASCAL RT @DolarToday: ¡EL GRAN LEGADO! La “revolución” chavista llega a sus 20 años con un país agonizante #TeamHDP</t>
  </si>
  <si>
    <t>Portimão</t>
  </si>
  <si>
    <t>Liberal , despreocupada , culpable de la dejadez de colaboración entre las personas y la ver que empatía entre las personas ya no existe</t>
  </si>
  <si>
    <t>https://twitter.com/DolarToday/status/1071379013539512320
https://goo.gl/AMutyS</t>
  </si>
  <si>
    <t>http://page.is/ruben-dario</t>
  </si>
  <si>
    <t>Alvise Pérez</t>
  </si>
  <si>
    <t>Hola @Pablo_Iglesias_. Lleva usted criticando a quienes exigimos cerrar Canal Sur desde hace días, y pidiendo desde su partido que tan sólo "se despolitice" esta cadena. Pues bien: ¿Recuerda usted este tuit? Nosotros se lo recordamos. 😘🇪🇸 Discurso Vs Intención real. ¯\_(ツ)_/¯</t>
  </si>
  <si>
    <t>Antonio Novo 🇪🇸</t>
  </si>
  <si>
    <t>https://pbs.twimg.com/media/Dt5QCtFWwAACxcZ.jpg</t>
  </si>
  <si>
    <t>Leeds.</t>
  </si>
  <si>
    <t>¡Artista! Plasma! No hables! Tuiteo en español. EN | ES | IT. #Liberal. Escuela #Austríaca. "As Much Freedom as Possible; as Much State as Necessary"</t>
  </si>
  <si>
    <t>http://facebook.com/Alviseperez</t>
  </si>
  <si>
    <t xml:space="preserve">Jerez de la Frontera. Ferrol. </t>
  </si>
  <si>
    <t>Nací en San Fernando (Cádiz). Enfermero de Urgencias. Español🇪🇸. No me fio de la partitocracia. Solo tiene crédito MCRC. Melómano y fotógrafo.</t>
  </si>
  <si>
    <t>http://www.novomedinilla.com/?m=1</t>
  </si>
  <si>
    <t>Ikusle</t>
  </si>
  <si>
    <t>Nueva ocurrencia: El Gobierno pretende combatir a “la ultraderecha de Vox” con un Plan de Empleo Juvenil  @Pablo_Iglesias_</t>
  </si>
  <si>
    <t>http://www.ikusle.com/nueva-ocurrencia-el-gobierno-pretende-combatir-a-la-ultraderecha-de-vox-con-un-plan-de-empleo-juvenil/</t>
  </si>
  <si>
    <t>Euskadi</t>
  </si>
  <si>
    <t>Galicia, España</t>
  </si>
  <si>
    <t>Última hora y noticias de Euskadi, España e internacional. Facebook http://facebook.com/ikusle Multimedia @ikuslemedia Navarra @ikuslenavarra Radio http://ikusle.com/directo</t>
  </si>
  <si>
    <t>http://www.ikusle.com</t>
  </si>
  <si>
    <t>LexTresAbogados</t>
  </si>
  <si>
    <t>Jackie Cabrera</t>
  </si>
  <si>
    <t>De acuerdo, @ahorapodemos deberían aplicarse lo de INFORMACIÓN VERAZ y la IGUALDAD. @Pablo_Iglesias_ RT @pnique: Junto con la educación, la INFORMACIÓN VERAZ es uno de los requisitos más fundamentales para tener una sociedad democrática y justa. Por eso te recomiendo este debate en @Fort_Apache_. Es tarea colectiva y también personal el no dejarnos engañar.</t>
  </si>
  <si>
    <t>https://twitter.com/pnique/status/1070779744873000960
https://www.youtube.com/watch?v=Ce0beb0sU70</t>
  </si>
  <si>
    <t>EN EL 2020 gobernará @vox_es</t>
  </si>
  <si>
    <t>Islas Canarias, España</t>
  </si>
  <si>
    <t>http://elmetropolitanodemadrid.blogspot.com/2018/10/pablo-iglesias-nos-preparamos-para.html</t>
  </si>
  <si>
    <t>Lda.Admón,Organización y Sistemas.Postgrado Gerencia. Asesora:Sistemas de Gestión de Calidad,Análisis Negocios y Organizativos,Calidad de Servicio. Inmobiliaria</t>
  </si>
  <si>
    <t>mo'better</t>
  </si>
  <si>
    <t>Los que tenemos añitos, al menos es mi caso, vemos últimamente en los cambios de discurso de @Pablo_Iglesias_ demasiadas similitudes con el de Felipe G. en día. Lo que le hizo subir y que suponía CAMBIO REAL, una vez acomodado en instituciones se volvió "épica" a descartar.</t>
  </si>
  <si>
    <t>Valencia, España</t>
  </si>
  <si>
    <t>#LexTresAbogados prestamos: #servicios de #auditoría #asesoramiento #legal #fiscal #Laboral #financiero y de #negocio con una clara #focalización #sectorial</t>
  </si>
  <si>
    <t>http://www.lextres.com</t>
  </si>
  <si>
    <t>El pensamiento nos hará libres...</t>
  </si>
  <si>
    <t>Francisco Mese</t>
  </si>
  <si>
    <t>Boadella: "O se interviene Cataluña varios años o nos comemos la independencia" @Albert_Rivera @sanchezcastejon @pablocasado_ @Pablo_Iglesias_ @CiudadanosCs @PSOE @PPopular @ahorapodemos</t>
  </si>
  <si>
    <t>http://www.elmundo.es/opinion/2018/12/08/5c081e04fdddff5b688b4717.html</t>
  </si>
  <si>
    <t>Quien no castiga el mal, ordena que se haga. Vinci, Leonardo da</t>
  </si>
  <si>
    <t>Teletubismo ilustrado</t>
  </si>
  <si>
    <t>MANIFIESTO TOD€S: 1.PATRIA = FASCISMO 2.FASICMO = FRANCO 3.FRANCO = VOX 4.VOX = MACHISTA 5.MACHISTA = @Santi_ABASCAL 6.ABASCAL = DICTADOR 7.DICTADOR = ASESINO 8.ASESINO = PISTOLA 9.PISTOLA = MUERTE 10.MUERTE = VIOLENCIA DE GÉNERO @Pablo_Iglesias_ llama a las calles #feminismo</t>
  </si>
  <si>
    <t>Pyongyang</t>
  </si>
  <si>
    <t>NO al pensamiento único, NO a las ideologías y NO a la corrección política: NO AL TELETUBISMO. Si estás de acuerdo: #teletubismo</t>
  </si>
  <si>
    <t>Paco Perez</t>
  </si>
  <si>
    <t>Víctor Albuerne</t>
  </si>
  <si>
    <t>Bertín Osborne: "A Pablo Iglesias no le voto ni muerto, ni harto de vino" - ni yo, Bertín, ni yo  vía @elmundoes</t>
  </si>
  <si>
    <t>Esto es el Comunismo. Esto es lo que defiende el infame @Pablo_Iglesias_ -y sus apandillados-, desde su lujosa mansiòn de la sierra madrileña. Este es el ideario de @ahorapodemos : Un voto a cambio de 3 €.</t>
  </si>
  <si>
    <t>https://www.abc.es/internacional/abci-maduro-ofrece-pernil-y-tres-euros-voten-elecciones-municipales-domingo-201812070313_noticia.html</t>
  </si>
  <si>
    <t>Asturias</t>
  </si>
  <si>
    <t>Ante todo, libres para elegir</t>
  </si>
  <si>
    <t>Cansado de políticos milongueros, de defensores de las dictaduras, de los comunistas, de los chupópteros, de la cultura de la subvención, de los ladrones</t>
  </si>
  <si>
    <t>Ángeles Torres</t>
  </si>
  <si>
    <t>Querido @sanchezcastejon, cuándo harás algo contra el #maltratoanimal? #loprometiste y seguimos esperando. Esta vez, 5 gatos envenenados. Queremos 1 ley marco con educación para los niños y penas + duras ya.  CC @Pablo_Iglesias_ @jjaviervazquez #felizsabado</t>
  </si>
  <si>
    <t>https://www.lavozdealmeria.com/noticia/12/almeria/163441/envenenan-a-cinco-gatos-de-una-colonia-en-el-barrio-san-luis</t>
  </si>
  <si>
    <t>Carlos🇪🇸</t>
  </si>
  <si>
    <t>Pablo Iglesias incita con sus manifestaciones a la violencia, al odio y al atentado personal contra la gente que no piensa como el. Atenta los más básicos principios de nuestra Constitución!!🇪🇸</t>
  </si>
  <si>
    <t>Comunicadora en búsqueda activa de empleo y opositora a Tramitación Procesal. Animalista. Instagram: @wwwangelestorres angelestorrestrabajo@gmail.com</t>
  </si>
  <si>
    <t>http://www.apamag.org</t>
  </si>
  <si>
    <t>https://twitter.com/intent/tweet?url=http%3A%2F%2Fchng.it%2F8bRKhqwP&amp;text=Ministerio%20de%20Justicia%3A%20Pena%20de%20prisi%C3%B3n%20de%201%20a%204%20a%C3%B1os%20para%20Pablo%20Iglesias%20por%20delito%20de%20Odio%20-%20%C2%A1Firma%20la%20petici%C3%B3n%21&amp;original_referer=https%3A%2F%2Fwww.change.org%2Fp%2Fministerio-de-justicia-pena-de-prisi%25C3%25B3n-de-1-a-4-a%25C3%25B1os-para-pablo-iglesias-por-delito-de-odio%2Fpsf%2Fshare%3Fsource_location%3Dcombo_psf%26psf_variant%3Dcombo%26share_abi%3D1&amp;related=change&amp;via=change_es</t>
  </si>
  <si>
    <t>Ex AB Asesores. Abogado. Aficionado a la Historia y a la Bolsa...La vida es bella.... Viva España!!🇪🇸</t>
  </si>
  <si>
    <t>ZuleimaYepez</t>
  </si>
  <si>
    <t>Nosotros y nosotras decimos que te vayas a tu chalet en galalagar @Pablo_Iglesias_ eres la incoherencia y la izquierda comunista que sólo busca su beneficio propio. No mientas más RT @Libert_Democrac: No tiene desperdicio. Con independencia de la estética del personaje y del acompañamiento estéril de Garzón, un discurso vacío, tendencioso, poniendo en duda malintencionadamente el papel del Rey el 23F y presentándose como salvadores. Asco y miedo.</t>
  </si>
  <si>
    <t>https://twitter.com/Libert_Democrac/status/1070672236867190785</t>
  </si>
  <si>
    <t>https://pbs.twimg.com/media/DtumWquWwAE07nM.jpg</t>
  </si>
  <si>
    <t>No soy facha, soy español</t>
  </si>
  <si>
    <t>Los culpables son Sánchez y Pablo Iglesias. VOX denuncia una agresión a dos de sus afiliados en Lorca (Murcia)- Libertad Digital | Versión Móvil (mobile)</t>
  </si>
  <si>
    <t>Soy Consultora de Formación. Diplomada en Empresariales.</t>
  </si>
  <si>
    <t>https://www.libertaddigital.com/espana/2018-12-07/vox-denuncia-una-agresion-a-dos-de-sus-afiliados-en-lorca-murcia-1276629559/</t>
  </si>
  <si>
    <t>María Pazos Morán</t>
  </si>
  <si>
    <t>Por fin publicado el estudio IEF proponiendo un sistema de atención a la dependencia universal, público y suficiente; y cuantificando costes y beneficios. !Sí se puede! @sanchezcastejon @Pablo_Iglesias_ @forumpfeminista @HuelgaFeminista @soledad_murillo</t>
  </si>
  <si>
    <t>Español de pura cepa. Amante de España y de sus gentes. España es un bello pais, de Norte a Sur y de Este a Oeste.</t>
  </si>
  <si>
    <t>https://elpais.com/sociedad/2018/12/07/actualidad/1544214168_188008.html</t>
  </si>
  <si>
    <t>Investigadora sobre economía, políticas públicas y sistemas de bienestar. Activista social y feminista.</t>
  </si>
  <si>
    <t>http://www.mariapazos.com</t>
  </si>
  <si>
    <t>http://ramblalibre.com/2018/12/08/carta-a-pablo-iglesias-eres-un-botarate-rancio-al-que-solo-votan-las-emporradas/#.XAvkbVa3-14.twitter</t>
  </si>
  <si>
    <t>BETIS O LA MORTE🇪🇸</t>
  </si>
  <si>
    <t>NI OLVIDO NI PERDÓN @Pablo_Iglesias_ MUÉRETE!</t>
  </si>
  <si>
    <t>Argentina</t>
  </si>
  <si>
    <t>https://pbs.twimg.com/media/Dt5I6KYXQAAly1P.jpg</t>
  </si>
  <si>
    <t>Reino De España</t>
  </si>
  <si>
    <t>@RealBetis La herencia de quien más te quiso. #RefugeesNOTwelcome. ARRIBA ESPAÑA ❤️💛❤️</t>
  </si>
  <si>
    <t>El HuffPost</t>
  </si>
  <si>
    <t>El dardo de Bertín Osborne del que sólo se salvan Albert Rivera y Pablo Casado</t>
  </si>
  <si>
    <t>John Seneca</t>
  </si>
  <si>
    <t>#OTDirecto8DIC DIFERENCIAS entre #VOXvsPODEMOS Para mí la única diferencia es unos son de derechas y los otros de izquierdas. Ponedme las vuestras a ver si me aclaro @Pablo_Iglesias_ @MonederoJC @PSOE @PPopular @CiudadanosCs @vox_es</t>
  </si>
  <si>
    <t>https://www.huffingtonpost.es/2018/12/07/el-dardo-de-bertin-osborne-a-gabriel-rufian-y-pablo-iglesias-espana-es-el-pais-con-mas-politicos-idiotas-por-metro-cuadrado_a_23611885/?utm_hp_ref=es-homepage</t>
  </si>
  <si>
    <t>Que os den por el PUTO CULO, cuando Franco es No, pero Sí Nicolás Maduro ....😀 (a los fascistas rojos... en verso)</t>
  </si>
  <si>
    <t>▶Facebook http://bit.ly/1sDqXwu ▶Telegram http://bit.ly/1sDriPC ▶Android http://bit.ly/1NcE6TE ▶iOS http://bit.ly/1AokTa1</t>
  </si>
  <si>
    <t>http://www.huffingtonpost.es</t>
  </si>
  <si>
    <t>The Raven</t>
  </si>
  <si>
    <t>11 días faltan para que #SOSlas1000 familias no tengan donde criar a sus hijos, porque un #fondobuitre #Fidere les estafa. Haced vuestro trabajo @sanchezcastejon @Pablo_Iglesias_ @Albert_Rivera @pablocasado_ , para eso cobráis.</t>
  </si>
  <si>
    <t>Chiqui Valero</t>
  </si>
  <si>
    <t>DE FASCISMOS, FASCISTAS Y KALE BORROKA...TALANA Mientras Pablo Iglesias denuncia la violencia y maldades de la ultraderecha... todavía no he visto una manifestación de centro o derecha, incluso de ultraderecha en...</t>
  </si>
  <si>
    <t>Cretácico inferior</t>
  </si>
  <si>
    <t>Afuera de mi casa tengo flores, sembradas en el campo como a ellas les gusta estar.</t>
  </si>
  <si>
    <t>https://www.facebook.com/jrvalerodiez/posts/2435426979808026</t>
  </si>
  <si>
    <t>L.F.L.E</t>
  </si>
  <si>
    <t>El Gobierno inyectará otros 25.000 millones a las comunidades en 2019. Si ésto no es un rescate que venga @Pablo_Iglesias_ y lo vea.</t>
  </si>
  <si>
    <t>Apasionado por Guadalajara y Castilla, su cultura y sus gentes. Trabaja en medios comunicación y de vez en cuando publica poesía.</t>
  </si>
  <si>
    <t>Las Rozas de Madrid, España</t>
  </si>
  <si>
    <t>Familia, Bankia (antes Caja Madrid), Cualquier lugar del mundo y Atleti, son ese motivo que dan sentido a una vida aparentemente normal. Ansia del Euromillón.</t>
  </si>
  <si>
    <t>∆nsoc</t>
  </si>
  <si>
    <t>A ver si lo que le jode a @Pablo_Iglesias_ es que estos de @vox_es sí han conseguido ser un movimiento transversal y no se han quedado en el voto de niños pijos jugando a la revolución. RT @elmundoes: La fragmentación del voto a Vox: del invernadero a las urbanizaciones de chalets con piscina y campos de golf</t>
  </si>
  <si>
    <t>Angel-Vox</t>
  </si>
  <si>
    <t>"Bravo Bertin como tu pensamos muchos" Bertín Osborne hunde en la miseria a Pablo Iglesias: 'Yo no le voto ni muerto y ni borracho de vino'</t>
  </si>
  <si>
    <t>https://twitter.com/elmundoes/status/1071355821639036929
https://trib.al/IsDCGCn</t>
  </si>
  <si>
    <t>https://www.periodistadigital.com/ocio-y-cultura/gente/2018/12/08/bertin-osborne-hunde-miseria-pablo-iglesias-no-voto-muerto-borracho-vino.shtml#.XAvjhAukTgo.twitter</t>
  </si>
  <si>
    <t>Graduado en Ciencias Criminológicas y de la Seguridad | Liberal | Airsofter |</t>
  </si>
  <si>
    <t>Orgulloso de ser español, nacido en Cataluña, católico, de derechas y contrario a las autonomías. **Æ**</t>
  </si>
  <si>
    <t>Jorge</t>
  </si>
  <si>
    <t>Sí, la que matasteis entre el 36 y 80'. Salvando las distancias con @Pablo_Iglesias_, claro. RT @Santi_ABASCAL: Por eso estos representan a la España muerta</t>
  </si>
  <si>
    <t>https://twitter.com/Santi_ABASCAL/status/1071002328583626759
https://eldebate.es/politica-de-estado/las-4-menciones-a-espana-que-podemos-borro-del-discurso-de-pablo-iglesias-tras-el-2-d-20181207</t>
  </si>
  <si>
    <t>Gamonaleando</t>
  </si>
  <si>
    <t>Por el descanso permanente. Adversario y enemigo del trabajo. En @el_cosaco_.</t>
  </si>
  <si>
    <t>http://elcosaco.org/</t>
  </si>
  <si>
    <t>Bueno. Pues si ya te vas enterando @Pablo_Iglesias_ INSISTIRÉ una vez más ¿Que delito/s comete un gob. que por ACTIVA o PASIVA PERMITE/PERPETUA determinados fraudes/delitos, especialmente en lo laboral y en lo fiscal, en pro de intereses espurios propios y de élites? ¡ACTUAD! RT @Pablo_Iglesias_: “Quizá la izquierda necesita dejar de lado la épica para enamorarse de lo efectivo. Aceptar que no se acerca uno a la urna para cambiar el mundo, sino para que no le cierren el ambulatorio del barrio” Interesante este artículo de @gerardotc 👇🏼</t>
  </si>
  <si>
    <t>https://twitter.com/Pablo_Iglesias_/status/1071115982339534848
http://bit.ly/2zM8PWW</t>
  </si>
  <si>
    <t>Hartford CT</t>
  </si>
  <si>
    <t>http://dlvr.it/Qt8842</t>
  </si>
  <si>
    <t>Español</t>
  </si>
  <si>
    <t>El se lo @Pablo_Iglesias_ se le puede comparar con la propaganda naci intentado llevar a la gente a la revelion, España no parece España pasamos de la libertad a al chavismo socialista y de podemos.</t>
  </si>
  <si>
    <t>https://pbs.twimg.com/media/Dt55DW9UwAEQRTl.jpg</t>
  </si>
  <si>
    <t>Hartford, CT</t>
  </si>
  <si>
    <t>Credit Repair in Hartford Connecticut 06101 call (888) 502-1260 https://www.facebook.com/Credit-Repair-in-Connecticut-1808460459377096/ https://es-la.facebook.com/Credit-Repair-in-Connecticut-1808460459377096/ https://m.facebook.com/Credit-Repair-in-Connecticut-1808460459377096/</t>
  </si>
  <si>
    <t>“La nación es bastante apta para las armas, pero desordenada, de suerte que sólo puede hacer con ella grandes cosas el que sepa mantenerla unida y en orden.”</t>
  </si>
  <si>
    <t>https://www.facebook.com/Credit-Repair-in-Connecticut-1808460459377096/</t>
  </si>
  <si>
    <t>Peter of Rooms</t>
  </si>
  <si>
    <t>Será un nuevo caso de violencia provocado por @Pablo_Iglesias_ ? #alertafascista</t>
  </si>
  <si>
    <t>Carlos Alonso</t>
  </si>
  <si>
    <t>España. 7 años después del 15M los españoles indignados se han convertido en los decepcionados, desilusionados, desencantados. El mesías Pablo Iglesias hoy no es más que otro charlatán vendehumo. Quienes se...</t>
  </si>
  <si>
    <t>https://amp.elmundo.es/madrid/2018/12/08/5c0b799821efa0d45b8b45ff.html</t>
  </si>
  <si>
    <t>https://www.facebook.com/carlosaalonsob/videos/1846553278777047/</t>
  </si>
  <si>
    <t>Cristiano, Católico, Apostólico y Romano. De derechas y heterosexual. Que mezcla más curiosa y entrañable.</t>
  </si>
  <si>
    <t>Oviedo</t>
  </si>
  <si>
    <t>torresburriel 📍</t>
  </si>
  <si>
    <t>Se puede debatir e intercambiar criterios y opiniones de forma civilizada y sin gritar. Y escuchar a los mayores, estés o no de acuerdo, también me parece un ejercicio de inteligencia. He disfrutado mucho con esta entrevista de @Pablo_Iglesias_ a Anson.</t>
  </si>
  <si>
    <t>https://youtu.be/-zFA9g24CAs</t>
  </si>
  <si>
    <t>Zaragoza, España</t>
  </si>
  <si>
    <t>CEO and founder at @uxtbe. Working on international #UX and #research projects. @UXalliance partner. #Speaker. Spanish &amp; English. Autor: http://bit.ly/libroux</t>
  </si>
  <si>
    <t>http://www.torresburriel.com/</t>
  </si>
  <si>
    <t>Javier DG</t>
  </si>
  <si>
    <t>SIGFRID SOR I.A.</t>
  </si>
  <si>
    <t>Poesía crítica | Constitución 1978 (renace Federal y laica). Una poesía de Javier DG @Olduvay22 con ilustración de @ElKokoparrilla / @Pablo_Iglesias_ @protestona1 @MonederoJC  vía @nuevarevoluci0n</t>
  </si>
  <si>
    <t>Los esfuerzos del Partido Popular dinamitan los amigos de Pablo Iglesias en La Sexta Noche SUPERANDO LA MALDITA HERENCIA SOCIALISTA</t>
  </si>
  <si>
    <t>https://nuevarevolucion.es/poesia-critica-constitucion-1978-renace-federal-y-laica/</t>
  </si>
  <si>
    <t>La insoportable levedad del tuit Regeneracionismo #NoTTIP #NoCETA #StopJEFTA</t>
  </si>
  <si>
    <t>http://nuevarevolucion.es/columnas/poesia-critica/</t>
  </si>
  <si>
    <t>WestWorld</t>
  </si>
  <si>
    <t>Generador automático de tweets de Sigfrid Soria inspirado por @Els_quatre_gats. Experimento paródico para descifrar cómo funciona su mente.</t>
  </si>
  <si>
    <t>https://twitter.com/Els_quatre_gats/status/560833460836007937</t>
  </si>
  <si>
    <t>Lucia Gonzalez</t>
  </si>
  <si>
    <t>Al payaso de @Pablo_Iglesias_ se le acaba la tontería cuando la gente de verdad le diga basta.. RT @Santi_ABASCAL: Dijimos que señalábamos a Pablo Iglesias como instigador de este clima de odio y de las agresiones que se produjeran...y hoy lo reiteramos. ¿Hasta cuándo van a a seguir los comunistas podemitas rompiendo la convivencia?</t>
  </si>
  <si>
    <t>Antonio Javier</t>
  </si>
  <si>
    <t>Buenas tardes Alternativa VOX desde Huelva un cordial saludo. El principal responsable de la agresión hacia los dos afiliado de @vox_es en Lorca es @pablo_iglesias_ quien el pasado domingo tras conocer el f resultado de las elecciones andaluzas llamo a la. RT @Alternativa_VOX: El principal responsable de la agresión hacia los dos afiliados de @vox_es en Lorca es @Pablo_Iglesias_, quien el pasado domingo tras conocer el resultado de las elecciones andaluzas llamó a las hordas totalitarias a tomar las calles y “combatir al fascismo”.</t>
  </si>
  <si>
    <t>https://twitter.com/Alternativa_VOX/status/1071358064073338880</t>
  </si>
  <si>
    <t>https://pbs.twimg.com/media/Dt46efMW4AAUH8_.jpg</t>
  </si>
  <si>
    <t>Huelva, España</t>
  </si>
  <si>
    <t>Capitán de Maquinas de la Armada Española</t>
  </si>
  <si>
    <t>DubyE</t>
  </si>
  <si>
    <t>Chus</t>
  </si>
  <si>
    <t>https://www.marca.com/tiramillas/actualidad/2018/12/08/5c0bb52022601dd0208b465d.html?utm_source=dlvr.it&amp;utm_medium=twitter</t>
  </si>
  <si>
    <t>Lujo socialista sanitario... @agarzon @Pablo_Iglesias_ @MonederoJC RT @clubdeviernes: El interior de un hospital cubano. Un hospital en el que nunca serán atendidos ninguno de los progres europeos que van a la isla a hacerse la foto con el puño en alto durante sus vacaciones.</t>
  </si>
  <si>
    <t>https://pbs.twimg.com/media/Dt521dxU0AAg7DS.jpg</t>
  </si>
  <si>
    <t>https://twitter.com/clubdeviernes/status/1071347433446260736</t>
  </si>
  <si>
    <t>pic.twitter.com/FQPWEhZUXZ</t>
  </si>
  <si>
    <t>Caracas</t>
  </si>
  <si>
    <t>👨‍👩‍👧‍👦👠💋🦅🌞🥘🇪🇸🏎️✝️@vox_es</t>
  </si>
  <si>
    <t>Laci Beles 🇪🇸</t>
  </si>
  <si>
    <t>Masquesaludplus</t>
  </si>
  <si>
    <t>Fuente de varios surtidores decorada con un conjunto escultórico inspirado en la mitología griega.</t>
  </si>
  <si>
    <t>AnnaCHU 🐞</t>
  </si>
  <si>
    <t>Cada vez que @pnique , @Pablo_Iglesias_ o @agarzon abren la boca para demonizar , llamar a la no aceptación de los resultados y a la revolución , sube la adhesión a Vox 😕Tristemente, solo les importan sus sillones, no defender realmente los derechos de la izquierda. "Gracias" RT @pnique: Vox no es nada nuevo. Es la pata más franquista, racista y machista del viejo proyecto de Aznar. Un proyecto, por cierto, que tiene como eje fundamental la subordinación de España a los intereses de EEUU. PP, C's y Vox, los patriotas de cartón-piedra. 🇺🇸</t>
  </si>
  <si>
    <t>https://pbs.twimg.com/media/Dt521YhVsAA01bO.jpg</t>
  </si>
  <si>
    <t>Toda la información de ultimo momento. #Farandula #Noticias #Deportes #Tendencia #MuchoMas</t>
  </si>
  <si>
    <t>A favor del Estado de Derecho y del orden social. Antitaurina. España ⭐️🍀</t>
  </si>
  <si>
    <t>lestpar</t>
  </si>
  <si>
    <t>Carta al tipo que mandó una carta a Pablo Iglesias - Público</t>
  </si>
  <si>
    <t>Mónica</t>
  </si>
  <si>
    <t>Una idea, no asesina a niños. Una idea se debate, se consensua , se vota........pero no asesina a la gente. Lo que mata a la gente son asesinos......no ideas.@Pablo_Iglesias_</t>
  </si>
  <si>
    <t>https://pbs.twimg.com/media/Dt49jtLW4AAdxIc.jpg</t>
  </si>
  <si>
    <t>cualquier  parte de España 🇪</t>
  </si>
  <si>
    <t>me gusta el fútbol R.M 💜 y las motos estoy aqui para pasar el rato.Odio a las feminazis y voy con quien me sale del coño 😇 soy un angel😅podemos es 💩</t>
  </si>
  <si>
    <t>podemita</t>
  </si>
  <si>
    <t>Pablo Altam</t>
  </si>
  <si>
    <t>Qué extraño, @pablocasado_, @Pablo_Iglesias_, @Albert_Rivera y @sanchezcastejon no han dicho nada de la Patrona de España y de la Infantería, sólo @Santi_ABASCAL tiene la educación y el respeto que se merce. Viva España, Viva la Inmaculada Concepción, Viva la Infantería</t>
  </si>
  <si>
    <t>jose</t>
  </si>
  <si>
    <t>https://pbs.twimg.com/media/Dt487-tWkAAu8iu.jpg</t>
  </si>
  <si>
    <t>Quien no haya sido Soldado de Infantería no sabe, que cuando el hombre se lanza, cuando al hombre se le calienta la sangre,lo más difícil es pararlo y enfriarlo</t>
  </si>
  <si>
    <t>Española y olé🇪🇸🇪🇸🌷🌷🌷🌻🌻</t>
  </si>
  <si>
    <t>Asesinos @ahorapodemos @pnique @Pablo_Iglesias_ @Irene_Montero_ @TeresaRodr_ @agarzon todos los q apoyan a maduro RT @hermanntertsch: Ocho niños han muerto en 24 horas en el hospital central de Maracay por culpa directa del régimen que patrocina al partido comunista de Podemos en España. Ocho niños como Aylan. el sirio ahogado que movilizó a todas las ONG y a todos los medios. A ver cuántos hablan de Maracay.</t>
  </si>
  <si>
    <t>https://twitter.com/hermanntertsch/status/1071325956009287680</t>
  </si>
  <si>
    <t>Española💯x💯🇪🇸 Madre,💕Amante dl cine, d la música.💘 Anti-Podemos. Madridista❤.+ d derechas q d izquierdas no t gusta no me sigas😛😘😘❤</t>
  </si>
  <si>
    <t>Pistones</t>
  </si>
  <si>
    <t>Vaya una populista como @Pablo_Iglesias @ierrejon @MonederoJC RT @jfalbertos: Os informo de que Annegret Kramp-Karrenbauer, la nueva líder democristiana alemana, es politóloga.</t>
  </si>
  <si>
    <t>Gus Vik</t>
  </si>
  <si>
    <t>https://twitter.com/jfalbertos/status/1071073606619287554</t>
  </si>
  <si>
    <t>A la cárcel, Coletas @Pablo_Iglesias_ RT @libertaddigital: VOX denuncia una agresión a dos de sus afiliados en Lorca (Murcia)</t>
  </si>
  <si>
    <t>en una Democracia Aletargada</t>
  </si>
  <si>
    <t>soy la resitencia, y no estoy solo http://radiocable.com/cafetera.html ctxt.es infolibre.es</t>
  </si>
  <si>
    <t>Manuel Aguilar 🎗</t>
  </si>
  <si>
    <t>DonPablo</t>
  </si>
  <si>
    <t>Hola @Santi_ABASCAL Deberías salir condenando el fascismo y el nazismo e interpelando a @Pablo_Iglesias_ y @pnique a que hagan lo mismo con el comunismo, causante de más de 100 millones de muertos. Les hundes en la miseria Tu no eres fascista,ellos si son comunistas</t>
  </si>
  <si>
    <t>https://pbs.twimg.com/media/Dt47-iXXQAUezDN.jpg</t>
  </si>
  <si>
    <t>santiago</t>
  </si>
  <si>
    <t>I ♥️ España</t>
  </si>
  <si>
    <t>La historia pondrá a @Pablo_Iglesias_ en su sitio</t>
  </si>
  <si>
    <t>https://pbs.twimg.com/media/Dt46nBaWoAEid0w.jpg</t>
  </si>
  <si>
    <t>https://pbs.twimg.com/media/Dt51d5EUUAATenN.jpg</t>
  </si>
  <si>
    <t>España Unida</t>
  </si>
  <si>
    <t>"Una nación no se pierde porque unos la ataquen, sino porque quienes la aman no la defienden". Patriota sí, facha ni se te ocurra llamármelo.</t>
  </si>
  <si>
    <t>Alternativa VOX 🇪🇸</t>
  </si>
  <si>
    <t>El principal responsable de la agresión hacia los dos afiliados de @vox_es en Lorca es @Pablo_Iglesias_, quien el pasado domingo tras conocer el resultado de las elecciones andaluzas llamó a las hordas totalitarias a tomar las calles y “combatir al fascismo”.</t>
  </si>
  <si>
    <t>bailaríndevogue</t>
  </si>
  <si>
    <t>¿Es posible que sea Pablo Iglesias para todos los Españoles? Va a ser que no.</t>
  </si>
  <si>
    <t>Cuenta de apoyo a VOX. Cuenta no oficial</t>
  </si>
  <si>
    <t>https://pbs.twimg.com/media/Dt51adKXgAUVThz.jpg</t>
  </si>
  <si>
    <t>Karcel-Seta 🦅 🇪🇸 🇺🇲 🇨🇵 🇮🇱</t>
  </si>
  <si>
    <t>La extrema izquierda comienza a agredir a los afiliados a @vox_es: Dos personas resultan heridas en Murcia &gt;&amp;gt; RESPONSABLE @Pablo_Iglesias_ QUE COPIA LOS MÉTODOS DEL DICTADOR VENEZOLANO MADURO</t>
  </si>
  <si>
    <t>https://diariopatriota.com/la-extrema-izquierda-comienza-a-agredir-a-los-afiliados-a-vox-dos-personas-resultan-heridas-en-murcia/</t>
  </si>
  <si>
    <t>España 🇪🇸🇪🇸</t>
  </si>
  <si>
    <t>Facha recalcitrante. Cuando la mugre golpista, batasuna o progre comunisto-sociata me llama FACHA, me llena de orgullo</t>
  </si>
  <si>
    <t>Fuenlabrada, España</t>
  </si>
  <si>
    <t>Gracias</t>
  </si>
  <si>
    <t>Ismael Maldonado</t>
  </si>
  <si>
    <t>Algo está pasando... Lo que me intriga es si sigue consignas del amado líder @Pablo_Iglesias_ o está @ierrejon provocando su salida de @ahorapodemos RT @VanityFairSpain: “En muchos sitios cuando la gente se manifiesta en favor de la igualdad, del Estado del bienestar o de la protección social, lleva orgullosa su bandera nacional y a mí eso me da envidia”. @ierrejon en su #desayunoVF</t>
  </si>
  <si>
    <t>https://twitter.com/VanityFairSpain/status/1070330182844760064</t>
  </si>
  <si>
    <t>pic.twitter.com/fIqKA4Kvmw</t>
  </si>
  <si>
    <t>juan miguel garcia m</t>
  </si>
  <si>
    <t>Carta abierta de Santiago Abascal a Pablo Iglesias: 'Lo tienes crudo' - 24H</t>
  </si>
  <si>
    <t>Las Palmas de Gran Canaria, Es</t>
  </si>
  <si>
    <t>Tras 5 años en Suecia como médico de familia estoy de vuelta. Ni Suecia es el dorado, ni España es la mejor.</t>
  </si>
  <si>
    <t>http://medicodefamiliaensuecia.blogspot.com</t>
  </si>
  <si>
    <t>https://www.youtube.com/attribution_link?a=DQAo8biWMJI&amp;u=%2Fwatch%3Fv%3DKR6MjZXoD7Y%26feature%3Dshare</t>
  </si>
  <si>
    <t>ramonropero</t>
  </si>
  <si>
    <t>Un juez confirma que @Pablo_iglesias_ recibio 272000 dólares de la dictadura asesina de Maduro a traves de un paraisos fiscal,pero @_anapastor_ hablando de la financiacion del #PP. Vaya,vaya,vya con la trepa. De Becaria en RTVE,a ganar 147000 eruos al año. #Ferreras.</t>
  </si>
  <si>
    <t>Tabarnia, España</t>
  </si>
  <si>
    <t>lanzarote</t>
  </si>
  <si>
    <t>viajo y hago amigos ,vivo a caballo entre sitio de conde .bahia brasil -garrucha, mojacar- lanzarote y nicaragua.amo todos los tipos de ocio ,me gusta el dialog</t>
  </si>
  <si>
    <t>Enorme respuesta de @carloscuestaEM al botarate y pedante de @Pablo_Iglesias_. RT @carloscuestaEM: @Pablo_Iglesias_ @gerardotc Claro... Por eso tú dejaste de lado tus principios “épicos” y te agarraste al casoplón “efectivo”... Pero tú tranquilo, que en tu barrio de lujo no hay problema de suministro como en tu “envidiada” Venezuela...</t>
  </si>
  <si>
    <t>https://twitter.com/carloscuestaEM/status/1071354635670183937</t>
  </si>
  <si>
    <t>Fernando S. Usera</t>
  </si>
  <si>
    <t>Pero @Pablo_Iglesias_ si el que tiene mas en común con Marie eres tu. Es que fascistas y comunistas sois primos hermanos!! RT @LibertadTV_: Veamos si @vox_es comparte o no las principales medidas económicas de Le Pen.</t>
  </si>
  <si>
    <t>https://twitter.com/LibertadTV_/status/1070303678463119360</t>
  </si>
  <si>
    <t>https://pbs.twimg.com/media/Dtp7hGmW0AACW4H.jpg</t>
  </si>
  <si>
    <t>Valladolid, España</t>
  </si>
  <si>
    <t>Talking comes by nature, silence by wisdom</t>
  </si>
  <si>
    <t>Arquímedes de Siracusa.</t>
  </si>
  <si>
    <t>Sermón a Pablo Iglesias LA SOCIEDAD CIVIL, Desplazamiento, Bronca Adjetivo,</t>
  </si>
  <si>
    <t>parrado46tyson</t>
  </si>
  <si>
    <t>Los tuyos @Pablo_Iglesias_ @ahorapodemos . Los dulces comunistas, #EspañaViva #vox @vox_es no permitirá que hagáis lo mismo en #España RT @silvia0907: Esta es la 'Democracia' que quiere Pablo Iglesias para España.</t>
  </si>
  <si>
    <t>https://twitter.com/silvia0907/status/1071348926765252609
https://twitter.com/GraafiaMM/status/1071322164597612544</t>
  </si>
  <si>
    <t>https://youtu.be/W3c-zUIsyss</t>
  </si>
  <si>
    <t>Ante estas murallas fueron humilladas Inglaterra y sus colonias.</t>
  </si>
  <si>
    <t>Planeta Tierra</t>
  </si>
  <si>
    <t>Soy físico, ingeniero, inventor, astrónomo y matemático. Se conocen pocos detalles de mi vida, pero estoy considerado uno de los científicos más importantes.</t>
  </si>
  <si>
    <t>Sr. Milton</t>
  </si>
  <si>
    <t>Infame @MonederoJC , rastrero @Pablo_Iglesias_ y despreciable @ierrejon . Este es el monstruo que habeis creado. Pobreza, hambre y muerte. RT @Carola2hope: Ocho (8) niños muertos en menos de 24 horas en el hospital central de Maracay, morían uno tras otros. Doctores tenían que tomar la dura decisión de a cuál niño de los 20 internados darle oxígeno de la única bombona existente en el lugar.</t>
  </si>
  <si>
    <t>@CAMARALHOMBRO</t>
  </si>
  <si>
    <t>"Pablo Iglesias es responsable del clima violento contra VOX" Santiago A...  vía @YouTube</t>
  </si>
  <si>
    <t>Tabarnia. Distrito Centro.</t>
  </si>
  <si>
    <t>En lo economico, como en la vida, Liberal. #LET #FreeMarket</t>
  </si>
  <si>
    <t>https://youtu.be/UVtmdL-8zXw</t>
  </si>
  <si>
    <t>Carlos Bernuy-Lopez</t>
  </si>
  <si>
    <t>Nadie duda de la colaboración entre las derechas, de alguna forma acabarán gobernando. Por el contrario tanto la gente de izquierdas como la de derechas sabe que la izquierda no es capaz de hacer eso. @sanchezcastejon y @Pablo_Iglesias_ no pueden permitir que eso pase.</t>
  </si>
  <si>
    <t>Xàtiva, España</t>
  </si>
  <si>
    <t>Batallador anti.izquierda destructora en la CV.</t>
  </si>
  <si>
    <t>Sandviken (Suecia)</t>
  </si>
  <si>
    <t>Ingeniero en pilas de combustible en Sandvik (Suecia). Activista por vencer las desigualdades a través del conocimiento y la educación. Cuenta personal.</t>
  </si>
  <si>
    <t>https://carlosbernuylopez.wordpress.com/</t>
  </si>
  <si>
    <t>Alberto</t>
  </si>
  <si>
    <t>Con mucho gusto le partiría la cara a la mierda arrastrada de Inda. Pero entonces bajaría al fango maloliente en el que se mueven él y su calaña. Y no estoy dispuesto a rebajarme a esos niveles de inmundicia</t>
  </si>
  <si>
    <t>https://digitalsevilla.com/2018/12/05/eduardo-inda-acusa-a-pablo-iglesias-de-querer-que-me-partan-la-cara-por-la-calle/</t>
  </si>
  <si>
    <t>YoyoStavros Egea</t>
  </si>
  <si>
    <t>Amigos de @ahorapodemos @iunida @agarzon @Pablo_Iglesias_ aún no@compartiendo lo que hicisteis, ya que lo cortés no quita lo valiente, pero si hacéis algo, hacerlo bien, y esto del pin fue el hazmerreír. RT @JotDownSpain: Pero qué...</t>
  </si>
  <si>
    <t>https://twitter.com/jotdownspain/status/1070992476876521472</t>
  </si>
  <si>
    <t>Euskal Herria</t>
  </si>
  <si>
    <t>https://www.20minutos.es/noticia/3508831/0/carta-viral-abierta-andaluz-medico-pablo-iglesias-cuando-usted-predica-pobreza-pero-compra-chale-nace-fascista-elecciones-andalucia-2018-podemos-vox/?utm_source=twitter.com&amp;utm_medium=socialshare&amp;utm_campaign=mobile_amp</t>
  </si>
  <si>
    <t>https://pbs.twimg.com/media/Dtzty03XQAU4gqI.jpg</t>
  </si>
  <si>
    <t>Hasta los cojones de políticos y empresarios ladrones. Militante de @ahorapodemos</t>
  </si>
  <si>
    <t>Zaragoza</t>
  </si>
  <si>
    <t>Todos los bancales tienen orilla.</t>
  </si>
  <si>
    <t>Markel</t>
  </si>
  <si>
    <t>Álvaro Sánchez León</t>
  </si>
  <si>
    <t>Esto de @gerardotc, el ✅ de @Pablo_Iglesias_ y el tuit de @hugomabarca con respuesta de @rafadelolmog</t>
  </si>
  <si>
    <t>http://dlvr.it/Qt83qH</t>
  </si>
  <si>
    <t>https://pbs.twimg.com/media/Dt5zFP9UcAAxcA1.jpg</t>
  </si>
  <si>
    <t>http://bit.ly/2zM8PWW</t>
  </si>
  <si>
    <t>https://pbs.twimg.com/media/Dt40wJ9WoAAa-bu.jpg</t>
  </si>
  <si>
    <t>Periodista. Boceto de escritor. Madrid. Escríbeme. Si quieres: alvaroslromero@gmail.com</t>
  </si>
  <si>
    <t>http://asanleo.com</t>
  </si>
  <si>
    <t>Bilbao, España</t>
  </si>
  <si>
    <t>La crew Bilbao-Bakio</t>
  </si>
  <si>
    <t>Javier Moreno</t>
  </si>
  <si>
    <t>Suele decir @rodriguezbraun que el mejor amigo del hombre es el chivo 🐐 expiatorio, pues @Pablo_Iglesias_ ha encontrado su chivo en @vox_es , mientras entretiene al personal con VOX nadie le mira a él ni le pregunta por los 300.000 votos perdidos</t>
  </si>
  <si>
    <t>¿Por qué tienes tanto odio, @Pablo_Iglesias_ ? Se te va a volver en contra RT @infiltradoxxx: Cuando el Rey supo del problema de los hijos de los Iglesias-Montero les llamo para preocuparse por su estado, hoy Pablo Iglesias le ha negado el saludo, poco más que añadir.</t>
  </si>
  <si>
    <t>Carlos G Alvarez</t>
  </si>
  <si>
    <t>https://twitter.com/infiltradoxxx/status/1070783826413129729</t>
  </si>
  <si>
    <t>Si pablo iglesias quiere asustar de verdad a los epañoles lo que debe dcir es que vox es un grupo de extremistas admiradores de dictadores genocidas... Ups... es es pablo . perdón... RT @RIVAS_Llanera: 📽 @Pablo_Iglesias_ califica a @vox_es como la corriente FRANQUISTA del @PPopular y a su líder @Santi_ABASCAL como un corrupto, bajo la Protección de @EsperanzAguirre 🔴 PREGUNTA ⁉️ ¿ Qué es @ahorapodemos y su líder ? @Pablo_Iglesias_ en Espejo Público.</t>
  </si>
  <si>
    <t>https://twitter.com/RIVAS_Llanera/status/1071017610152738817</t>
  </si>
  <si>
    <t>https://pbs.twimg.com/media/Dtkuw5oXcAIO9xZ.jpg</t>
  </si>
  <si>
    <t>Cumana, Venezuela</t>
  </si>
  <si>
    <t>Liberal, anticomunista 🇻🇪🇦🇷 Venezuela necesita que te unas a lucha libertaria.</t>
  </si>
  <si>
    <t>Kumy Barcelona 🇪🇸</t>
  </si>
  <si>
    <t>Enhorabuena @sanchezcastejon y @pablo_iglesias_ RT @progrestona: Imágenes durísimas, no aptas para comunistas.</t>
  </si>
  <si>
    <t>https://twitter.com/progrestona/status/1071347664422342661</t>
  </si>
  <si>
    <t>pic.twitter.com/jwDNUiEa9K</t>
  </si>
  <si>
    <t>Juan Lucena</t>
  </si>
  <si>
    <t>Bertín Osborne: "A Pablo Iglesias no le voto ni muerto, ni harto de vino"</t>
  </si>
  <si>
    <t xml:space="preserve">Tayikistán </t>
  </si>
  <si>
    <t>Cataluña es mi tierra. España mi nación. Y como buen madridista, NUNCA me rindo. Con mi escudo o encima de él. Bloqueado por Puigdemont @krls y @pablo_iglesias_</t>
  </si>
  <si>
    <t>Con el puño cerrado no se puede intercambiar un apretón de mano. (Indira Gandhi)</t>
  </si>
  <si>
    <t>Juan Carlos Chirinos</t>
  </si>
  <si>
    <t>No soy del partido de @Marta_Sibina, pero me parece razonable lo que pide: aclarar ya cómo y por qué las farmacéuticas cobran al Estado por las medicinas. Es un problema que interesaría a todo el Congreso, ¿no, @SanchezCastejon, @PabloCasado_, @Albert_Rivera y @Pablo_Iglesias_?</t>
  </si>
  <si>
    <t>Ibon Rodríguez</t>
  </si>
  <si>
    <t>Pues este señor define bastante bien lo que es un fascista... A ver si le queda clarito a la gente</t>
  </si>
  <si>
    <t>MadridOıɹɐuoıɔnloʌǝɹɹɐɹʇuoɔ.</t>
  </si>
  <si>
    <t>Libros: "Venezuela. Biografía de un suicidio" (@lahuertagrande, 2017), "La Manzana de Nietzsche" (@EdicionesLaPalm, 2015), "Miranda" (@RENACIMIENTOED, 2017).</t>
  </si>
  <si>
    <t>https://www.instagram.com/juance67/</t>
  </si>
  <si>
    <t>https://blogs.publico.es/dominiopublico/27340/carta-al-tipo-que-mando-una-carta-a-pablo-iglesias/?utm_source=facebook&amp;utm_medium=social&amp;utm_campaign=publico</t>
  </si>
  <si>
    <t>Luis Ramirez</t>
  </si>
  <si>
    <t>Todo el mundo tiene derecho a prosperar personalmente, pero viendo las declaraciones de @Pablo_Iglesias_ desde que está en politica,lo que defendia, lo que veia bien y mal, solo me queda decir que los votantes de Podemos manifiestamente han sido engañados. RT @arb149: @Pablo_Iglesias_ llamó a salir a la calle para protestar por @vox_es, deslegitimando unos resultados que no le fueron favorables. También dice que en el discurso del Rey echó en falta la referencia a la #Corrupcion y a los privilegios. Privilegios y chupes que él mismo disfruta🤥</t>
  </si>
  <si>
    <t>Bilbao city of the world</t>
  </si>
  <si>
    <t>Viviendo un mundo cambiante, estrategias de comunicación en movimiento, asesoría y formación. Y siempre quedará mucho por delante.</t>
  </si>
  <si>
    <t>http://www.asteakdakarrena.wordpress.com</t>
  </si>
  <si>
    <t>https://twitter.com/arb149/status/1071343492796948480</t>
  </si>
  <si>
    <t>https://pbs.twimg.com/media/Dt4tOVVWwAEqFho.jpg</t>
  </si>
  <si>
    <t>Expresidente de los empresarios autónomos CEAT-MELILLA/CEME-CEOE.Ultra defensor de los que arriesgan su patrimonio y crean empleo en España.</t>
  </si>
  <si>
    <t>Juanma Rodriguez</t>
  </si>
  <si>
    <t>La carta viral del andaluz que explica a Iglesias el ascenso de Vox, lo más leído de la semana  AMÉN!! Y @Pablo_Iglesias_ sigue aprovechándote de la gente que solo tienes 2 opciones, dar la mayoría a la derecha o una guerra civil. Escoria!!!</t>
  </si>
  <si>
    <t>https://www.cope.es/n/306466</t>
  </si>
  <si>
    <t>Paterna (valencia)</t>
  </si>
  <si>
    <t>Amante del deporte, del riesgo y la velocidad. Sin amigos, la vida no seria igual. Para trabajar, Un equipo, para ilusionar un cambio, para ganar HUMILDAD.</t>
  </si>
  <si>
    <t>PATTON™🇺🇸🇪🇸🇮🇱</t>
  </si>
  <si>
    <t>LIMPIEMOS ESPAÑA DE BASURA: Miles de españoles firman para que Pablo Iglesias sea condenado a prisión por delito de odio contra VOX</t>
  </si>
  <si>
    <t>Me gustaría saber cómo ven estas medidas low cost para mejorar el @Congreso_Es @pablocasado_ @Albert_Rivera @Adrilastra @Pablo_Iglesias_ @JoanTarda @anapastorjulian @AITOR_ESTEBAN  vía @ecd_</t>
  </si>
  <si>
    <t>https://pbs.twimg.com/media/Dt5xLT5X4AA07Fj.jpg</t>
  </si>
  <si>
    <t>https://www.elconfidencialdigital.com/articulo/politica/medidas-revitalizar-congreso-diputados-ap</t>
  </si>
  <si>
    <t>Reino De Valencia 🇪🇸</t>
  </si>
  <si>
    <t>Nadie derrumba a quien Dios levanta, nadie derrota a quien Dios protege, nadie maldice a quien Dios Bendice. God Bless the Good People💖 #Israel ✡️ No📩🚫 @Vox</t>
  </si>
  <si>
    <t>Francisco Marhuenda</t>
  </si>
  <si>
    <t>http://lrzn.es/mbnep6</t>
  </si>
  <si>
    <t>pic.twitter.com/BqKfjUhHff</t>
  </si>
  <si>
    <t>Director del diario @larazon_es y su equipo</t>
  </si>
  <si>
    <t>Bonavista CF</t>
  </si>
  <si>
    <t>[ 📢 | INFANTIL ] CD Pablo Iglesias “B” 6-1 #BonavistaCF 📌 Partido luchado y competido del Bonavista ante un poderoso Pablo Iglesias que continúa invicto en la competición. ⚽️ David Expósito</t>
  </si>
  <si>
    <t>Estibaliz Espin</t>
  </si>
  <si>
    <t>Este régimen narcocomunista es el que es digno de alabanza para @Pablo_Iglesias_ y sus compañeros, de verdad me avergüenza que un político de mi país pueda aplaudir este tipo de dictadura y mas aún que un expresidente nuestro sea su perro faldero .... lamentable RT @Carola2hope: Ocho (8) niños muertos en menos de 24 horas en el hospital central de Maracay, morían uno tras otros. Doctores tenían que tomar la dura decisión de a cuál niño de los 20 internados darle oxígeno de la única bombona existente en el lugar.</t>
  </si>
  <si>
    <t>https://pbs.twimg.com/media/Dt5w4VZX4AAqRq6.jpg</t>
  </si>
  <si>
    <t>https://twitter.com/carola2hope/status/1071127505627541504</t>
  </si>
  <si>
    <t>Calle Hospital, 30, Entresuelo. ELCHE (Alicante)</t>
  </si>
  <si>
    <t>Directora de administración en @preicojuridicos. Estudiante de Derecho en UNED. Rble.politica municipal @ciudadanos olivella</t>
  </si>
  <si>
    <t>Twitter oficial del Bonavista CF | #TúEscribesNuestraHistoria | Fútbol Masculino | Fútbol Femenino | Fútbol Sala: @BonavistaCFSala</t>
  </si>
  <si>
    <t>http://www.bonavistacf.es</t>
  </si>
  <si>
    <t>María</t>
  </si>
  <si>
    <t>Kudo</t>
  </si>
  <si>
    <t>Quienes pretenden luchar contra la desigualdad no deberían fomentarla. Un gobierno debe perseguir el beneficio social general, no sólo el de unos pocos. El pacto es bochornoso democráticamente hablando. Pero aún se puede cambiar. @LolaDelgadoG @sanchezcastejon @Pablo_Iglesias_ RT @justiciagob: .@justiciagob pacta con los sindicatos los criterios de acceso a las más de 10.800 plazas de empleo público de los ejercicios 2017-2019 👉</t>
  </si>
  <si>
    <t>Vzla Ama El Fútbol</t>
  </si>
  <si>
    <t>https://twitter.com/justiciagob/status/1071091324097626112
http://www.mjusticia.gob.es/cs/Satellite/Portal/es/ministerio/gabinete-comunicacion/noticias-ministerio/justicia-pacta-sindicatos</t>
  </si>
  <si>
    <t>http://dlvr.it/Qt82Kj</t>
  </si>
  <si>
    <t>https://pbs.twimg.com/media/Dt5w0biUwAEAQGN.jpg</t>
  </si>
  <si>
    <t>Ser alguien ya es difícil, mejor no voy a intentar describirlo. Bibliófilo, cinéfilo, seriéfilo y gamer. #CRZafón, #HP, #Marvel, #DC, #GoT, #KH y un largo etc.</t>
  </si>
  <si>
    <t>Cuenta dedicada a informar sobre el fútbol Venezolano en todas sus categorías, los #VenEx, entre otros.</t>
  </si>
  <si>
    <t>http://www.facebook.com/VenezuelaAmaElFutbol</t>
  </si>
  <si>
    <t>Esto fue la transición. @sanchezcastejon @Pablo_Iglesias_ @agarzon RT @elespanolcom: Este es Joaquín de Ariza, el hombre que perdonó a Carrillo tras el fusilamiento de su padre. Texto de @DanielRamirez99 | Vídeo de @ClaraRguez</t>
  </si>
  <si>
    <t>https://twitter.com/elespanolcom/status/1070728324198985728</t>
  </si>
  <si>
    <t>https://pbs.twimg.com/media/Dtv6Sc_X4AE3Fv1.jpg</t>
  </si>
  <si>
    <t>juan carlos lopez</t>
  </si>
  <si>
    <t>gracias @sanchezcastejon @Pablo_Iglesias_ @pnique por hacer crecer el interes por el libertador y hacer un VOX grande dejad a los muertos en paz y si quereis desenterrad a los vuestros RT @hospederiavc: Éstas eran las colas esta mañana para acceder a la basílica</t>
  </si>
  <si>
    <t>https://twitter.com/hospederiavc/status/1071153677245796352</t>
  </si>
  <si>
    <t>pic.twitter.com/Ik4oKNNkBZ</t>
  </si>
  <si>
    <t>Soy Totalmente FIFÍ!  🇲🇽</t>
  </si>
  <si>
    <t>¡Ciclista de sillón!</t>
  </si>
  <si>
    <t>Ripollet, Cataluña</t>
  </si>
  <si>
    <t>El Mundo</t>
  </si>
  <si>
    <t>ilegalizacion de partidos separatistas y pedemierditas</t>
  </si>
  <si>
    <t>Darwin De La Encina</t>
  </si>
  <si>
    <t>La WikyLady</t>
  </si>
  <si>
    <t>Otra Vuelta de Tuerka - Pablo Iglesias con Tristán Ulloa  vía @YouTube</t>
  </si>
  <si>
    <t>Campaña anti @ahorapodemos , hay que echarlos , no puede haber agitadores , oportunistas y mentirosos en las instituciones, tal como hicieron con Rajoy, HAY QUE ECHAR A @Pablo_Iglesias_ y todos sus palmeros</t>
  </si>
  <si>
    <t>https://youtu.be/gjuLta58Png</t>
  </si>
  <si>
    <t>Porque todo lo sé y lo que no sé, me lo invento. Políticamente superincorrecta</t>
  </si>
  <si>
    <t>Así les gustaría ser recordados a @sanchezcastejon, @pablocasado_ , @Pablo_Iglesias_ y @Albert_Rivera dentro de 40 años. Por @estherpalomera</t>
  </si>
  <si>
    <t>https://www.huffingtonpost.es/esther-palomera/que-diran-de-ellos-cuando-ya-no-esten_a_23611994/</t>
  </si>
  <si>
    <t>Max Rockatansky</t>
  </si>
  <si>
    <t>Siempre es buen momento para recordar que si Rajoy hubiera dimitido antes de votarse la moción de censura hoy no tendríamos a un anormal en La Moncloa y Pablo Iglesias sería un cero a la izquierda.</t>
  </si>
  <si>
    <t>Queensland, Australia</t>
  </si>
  <si>
    <t>Mi nombre es Max. Mi mundo es fuego. Y sangre.</t>
  </si>
  <si>
    <t>El temerario de Villa Tinaja, @Pablo_Iglesias_</t>
  </si>
  <si>
    <t>marga</t>
  </si>
  <si>
    <t>https://okdiario.com/opinion/2018/12/07/temerario-villa-tinaja-3438743</t>
  </si>
  <si>
    <t>Ministerio de Justicia: Pena de prisión de 1 a 4 años para Pablo Iglesias por delito de Odio - ¡Firma la petición!  via @ChangeFrance</t>
  </si>
  <si>
    <t>http://chng.it/PQTj95Wc</t>
  </si>
  <si>
    <t>Francia</t>
  </si>
  <si>
    <t>Periodista futurista, escribe con caché, completamente loca en las artes visuales.Y sobre todo Diva, reina de Groenlandia. https://www.facebook.com/GarciaAlonsoMargarita</t>
  </si>
  <si>
    <t>http://visualeslamarga.blogspot.fr/</t>
  </si>
  <si>
    <t>Este no es machista, ni xenófobo este de izquierdas... @Pablo_Iglesias_ el representante de los colectivos en especial el de las mujeres. Hay más idiotas en este país de lo que se ve a simple vista RT @okdiario: Maldita hemeroteca 😏 @Pablo_Iglesias_ da la razón a @Santi_ABASCAL: “El derecho a portar armas es una de las bases de la democracia” Por @Gonzagads92 👇</t>
  </si>
  <si>
    <t>https://twitter.com/okdiario/status/1071132239906299905</t>
  </si>
  <si>
    <t>Riselo</t>
  </si>
  <si>
    <t>El dardo de Bertín Osborne a Gabriel Rufián y Pablo Iglesias: "España es el país con más políticos idiotas por metro cuadrado"</t>
  </si>
  <si>
    <t>pic.twitter.com/vWlRvWV6Mw</t>
  </si>
  <si>
    <t>http://a.msn.com/01/es-es/BBQE04P?ocid=st</t>
  </si>
  <si>
    <t>A nadie le importo demasiado. Un ciudadano inquieto. I'm timeless.</t>
  </si>
  <si>
    <t>http://todoescasiposible.blogspot.com</t>
  </si>
  <si>
    <t>TRINI FLAB</t>
  </si>
  <si>
    <t>bien@bien</t>
  </si>
  <si>
    <t>Esto es algo digno de elogio,pero lo que es una tontería es decir que lideras algo. Tú no lideras ni en tu casa. Y si no pregúntale a @Pablo_Iglesias_ RT @sanchezcastejon: Nuestra Constitución debe reconocer a las personas con #discapacidad como ciudadanos libres e iguales. Ese es el objetivo del Anteproyecto de reforma del art. 49 aprobado hoy en el #CMin. La dignidad y los derechos de este colectivo han de estar reflejados en nuestra Carta Magna.</t>
  </si>
  <si>
    <t>https://twitter.com/sanchezcastejon/status/1071108859635351552</t>
  </si>
  <si>
    <t>pic.twitter.com/FCFmDK2ovf</t>
  </si>
  <si>
    <t>Animal curioso,homínido de género femenino.Me interesan especialmente:MTC,social media,política y derechos humanos,ecología y bioconstrución,arte,literatura...</t>
  </si>
  <si>
    <t>J.Carlos Navarro ☕</t>
  </si>
  <si>
    <t>BINGO @Pablo_Iglesias_ parece que NO se entera. RT @jitorreblanca: Cuando la gente da la espalda al partido de la gente... “Podemos ya no puede” mi columna en @elmundoes #CafeSteiner</t>
  </si>
  <si>
    <t>https://twitter.com/jitorreblanca/status/1071323619035369472
http://www.elmundo.es/opinion/2018/12/08/5c0a7325fdddffd4af8b45b0.html</t>
  </si>
  <si>
    <t>Estepona</t>
  </si>
  <si>
    <t>Casado, 3 hijas preciosas, Ingeniero Técnico Informático, autónomo, NBA y Biwenger Fan. Trabajo en @OnbyteTech</t>
  </si>
  <si>
    <t>http://www.onbyte.es</t>
  </si>
  <si>
    <t>Alex García</t>
  </si>
  <si>
    <t>Ante la irresponsable convocatoria a salir a las calles a manifestarse en contra de la "ultra derecha" encarnada en VOX, según el gusano chavista Pablo Iglesias de PODEMOS, empieza a cosechar frutos. Despierta España; tienen que operarse de la izquierda</t>
  </si>
  <si>
    <t>http://lrzn.es/mbnep2</t>
  </si>
  <si>
    <t>http://www.despiertainfo.com/2018/12/07/violentos-disturbios-antifascistas-en-cataluna/</t>
  </si>
  <si>
    <t>pic.twitter.com/P5i0ysldbH</t>
  </si>
  <si>
    <t>Viña del Mar, Chile</t>
  </si>
  <si>
    <t>Como Padre, quiero que mi hijo y los niños de hoy, puedan vivir en un país libre, con oportunidades, donde impere el sentido común, sin ideologías añejas.</t>
  </si>
  <si>
    <t>M.J. 💜✊🏻✊🏻💜</t>
  </si>
  <si>
    <t>Un votante de Podemos destroza a Santiago Abascal en una carta abierta | Podemos Pablo Iglesias</t>
  </si>
  <si>
    <t>http://www.podemospabloiglesias.com/?page=votante-carta-avalcal&amp;type=actualidad#.XAvXL9AIOV8.twitter</t>
  </si>
  <si>
    <t>Qué más da</t>
  </si>
  <si>
    <t>En esto tiene usted toda la razón. Pero @Pablo_Iglesias_ el matriculas seguro que tiene un as debajo de la manga para justificar todo esto. #FelizDomingo RT @rosadiezglez: ¿Os imagináis qué ocurriría si un partido “de derechas” dijera que no reconoce el resultado de unas elecciones y llamarán a las gentes a echarse a las calles? Pues es lo que dicen y hacen los socios del Gobierno de España, tan ‘de izquierdas’, tan ‘progres’... y no pasa nada.</t>
  </si>
  <si>
    <t>https://twitter.com/rosadiezglez/status/1071335367855476738</t>
  </si>
  <si>
    <t>Quiromasajista y Masajista Deportivo. La vida es salud !!!!!!!! Fiel seguidora de la F1. Voluntaria de Cruz Roja !!!!</t>
  </si>
  <si>
    <t>La tonteria se pone delante para ser vista, la inteligencia detrás para observar...</t>
  </si>
  <si>
    <t>Kaquijuan</t>
  </si>
  <si>
    <t>http://dlvr.it/Qt7ztd</t>
  </si>
  <si>
    <t>https://pbs.twimg.com/media/Dt5s_5-V4AAaicv.jpg</t>
  </si>
  <si>
    <t>Pigüe</t>
  </si>
  <si>
    <t>Pues aplícate el cuento @Pablo_Iglesias_ RT @Pablo_Iglesias_: “Quizá la izquierda necesita dejar de lado la épica para enamorarse de lo efectivo. Aceptar que no se acerca uno a la urna para cambiar el mundo, sino para que no le cierren el ambulatorio del barrio” Interesante este artículo de @gerardotc 👇🏼</t>
  </si>
  <si>
    <t>https://twitter.com/pablo_iglesias_/status/1071115982339534848
http://bit.ly/2zM8PWW</t>
  </si>
  <si>
    <t>Firme Al Legado del Comandante Chávez.. Comunicador Social, Fiel al Deporte Nacional, Conductor del Programa Deporte Pasión y Algo Más con @crisyosea</t>
  </si>
  <si>
    <t>http://www.oyeven.com</t>
  </si>
  <si>
    <t>En la vida hay que posicionarse y comprometerse. De izquierdas, solidaria, feminista y con las mujeres luchadoras. Y del atleti!</t>
  </si>
  <si>
    <t>Kike Tejada</t>
  </si>
  <si>
    <t>Las 10:10 del 8 de diciembre de 2018 y @Pablo_Iglesias_ sigue sin estar detenido</t>
  </si>
  <si>
    <t>Director de Supply Chain 🇪🇸Español a toda vena.VOX</t>
  </si>
  <si>
    <t>Rosa Maria</t>
  </si>
  <si>
    <t>IU y el PCE presentan una querella contra, entre otros, el rey emérito, porque “esta Monarquía no es trigo limpio aunque hoy nos den lecciones de democracia” @IUnida @ElPCE @Elba_Celo @AGarzon @Pablo_Iglesias  vía @_Contrainfo</t>
  </si>
  <si>
    <t>AT</t>
  </si>
  <si>
    <t>https://contrainformacion.es/iu-y-el-pce-presentan-una-querella-contra-entre-otros-el-rey-emerito-porque-esta-monarquia-no-es-trigo-limpio-aunque-hoy-nos-den-lecciones-de-democracia/</t>
  </si>
  <si>
    <t>https://www.elmundo.es/cronica/2018/12/03/5c057855fdddff8c998b47af.html</t>
  </si>
  <si>
    <t>“El día que Julio Anguita pidió el voto para la extrema derecha” Funambuleros como ⁦@Pablo_Iglesias_⁩ no pueden estar gobernando nada, no tiene ni la inteligencia,ni la moral, ni la honestidad, ni siquiera tiene sentido común . FUERA PABLO</t>
  </si>
  <si>
    <t>madre...</t>
  </si>
  <si>
    <t>Tabarnia</t>
  </si>
  <si>
    <t>Epicuro</t>
  </si>
  <si>
    <t>Enhorabuena @Pablo_Iglesias_!! Lo estáis haciendo muy muy muy bien, seguir echando mierda por esa cloaca de boca tenéis. VOX lograría el 6% de voto y 9 diputados en las generales si se repitiera el resultado de las andaluzas</t>
  </si>
  <si>
    <t>#TeamTheMightyI 🌈🕋💜</t>
  </si>
  <si>
    <t>Pablo Iglesias suicidate hijo de mil putas</t>
  </si>
  <si>
    <t>https://okdiario.com/general/2018/12/07/vox-lograria-6-voto-9-diputados-unas-generales-si-repitiera-resultado-andaluzas-3422997/amp</t>
  </si>
  <si>
    <t>Tabarnés, Andaluz y Español 🇪🇸, motero, ciclista, familiar y gastronómico</t>
  </si>
  <si>
    <t>entre Columbia y Barcelona.</t>
  </si>
  <si>
    <t>NATIONAL TREASURE- Got me feeling drunk and high...So high, so high... (i got this...)</t>
  </si>
  <si>
    <t>Carlos Madariaga</t>
  </si>
  <si>
    <t>#lainmigracion Hay q llevar a toda la inmigración q merodea por las calles d nuestras ciudades robando y asustando al ciudadano, al centro de Acogida q tiene @podemosmad en Galapagar, su director es @Pablo_Iglesias_</t>
  </si>
  <si>
    <t>Virginia</t>
  </si>
  <si>
    <t>A las necedades de los tontos mejor no darles importancia. El dardo de Bertín Osborne a Gabriel Rufián y Pablo Iglesias: "España es el país con más políticos idiotas por metro cuadrado"</t>
  </si>
  <si>
    <t>London, England</t>
  </si>
  <si>
    <t>https://www.huffingtonpost.es/2018/12/07/el-dardo-de-bertin-osborne-a-gabriel-rufian-y-pablo-iglesias-espana-es-el-pais-con-mas-politicos-idiotas-por-metro-cuadrado_a_23611885/?ncid=other_twitter_cooo9wqtham&amp;utm_campaign=share_twitter</t>
  </si>
  <si>
    <t>Manuel</t>
  </si>
  <si>
    <t>Paco Bardes Panyagua</t>
  </si>
  <si>
    <t>Bertin Osborne dice que no vota a @Pablo_Iglesias_ no harto de vino. A mí me ha dado la mayor alegría que podría esperar hoy sábado 8 de diciembre. Porque gentuza de esa calaña no queremos en PODEMOS. Así que.... a tomar viento, facha casposo!!!</t>
  </si>
  <si>
    <t>Chile - España</t>
  </si>
  <si>
    <t>Agnóstica, de izquierdas, republicana. (Wolff está mal escrito, es Woolf) Adicta a la música de los Beatles. The Beatles (Band</t>
  </si>
  <si>
    <t>Sindo GS</t>
  </si>
  <si>
    <t>DelMundo</t>
  </si>
  <si>
    <t>Antifascista. Republicano. El que quiera Iglesia que se la pague. las verdades NO las cuentan quienes nos mienten.</t>
  </si>
  <si>
    <t>http://contracobardes.blogspot.com.es/?m=1</t>
  </si>
  <si>
    <t>Políticamente, huérfano .</t>
  </si>
  <si>
    <t>Jimez Castul</t>
  </si>
  <si>
    <t>Oye @Pablo_Iglesias_ ponte el número de teléfono también porfi, que creo que es una peluquería económica RT @AdraColacau: No quiero que esta foto desaparezca, el chepas con la publicidad del Salón Beauty en la solapa no tiene precio</t>
  </si>
  <si>
    <t>Albapaola</t>
  </si>
  <si>
    <t>https://twitter.com/AdraColacau/status/1071074566691307521</t>
  </si>
  <si>
    <t>https://pbs.twimg.com/media/Dt04nzWWwAY173E.jpg</t>
  </si>
  <si>
    <t>Al Rey la vida y la hacienda se ha de dar, pero el honor es patrimonio del alma y el alma solo es de Dios</t>
  </si>
  <si>
    <t>Licenciada en Ciencias de la Informacion.Periodista en paro.Enamorada de la vida y de mi familia.Adoro a los niños y a mi perrita.No soporto las INJUSTICIAS</t>
  </si>
  <si>
    <t>🇪🇸 H. Aragonés 🇪🇸</t>
  </si>
  <si>
    <t>¿Cómo hemos cambiado eh @Pablo_Iglesias_? ¡Ah! no perdón, q esto funciona así. Haced lo q yo digo no lo que yo hago. Todo un ejemplo de coherencia, su casa, la @guardiacivil q ahora le vigila su mansión, machista, violento, y no hace ni 3 años.</t>
  </si>
  <si>
    <t>https://www.youtube.com/watch?v=0NEf-m_DIa8</t>
  </si>
  <si>
    <t>Sevilla, Spain.</t>
  </si>
  <si>
    <t>Del Betis y de @vox_es . Amante de las motos y del Rock&amp;Roll. #EspañaLoPrimero Harto de la infame Leyenda Negra y de traidores a España.</t>
  </si>
  <si>
    <t>Verdadera Izquierda</t>
  </si>
  <si>
    <t>🚨 Lo que Pablo Iglesias pensaba de la compra de un casoplón por 600.000€ ➡  ASÍ ES LA DOBLE MORAL DE LA IZQUIERDA COMUNISTA DE ESTE PAÍS</t>
  </si>
  <si>
    <t>http://ow.ly/erZy30kdQEv</t>
  </si>
  <si>
    <t>Ke Les Den</t>
  </si>
  <si>
    <t>Demanda penal contra el golfo ese de @Pablo_Iglesias_ RT @Santi_ABASCAL: Pablo Iglesias es responsable directo de atizar el odio y las manifestaciones ilegales para intentar alterar el veredicto de las urnas. Le responsabilizamos de cualquier amenaza o acto violento contra cualquiera de nuestros cargos públicos, militantes, afiliados o simpatizantes.</t>
  </si>
  <si>
    <t>Perfil creado para desenmascarar las mentiras de la izquierda y del socialismo de este gran país llamado España. Para descubrirlos lee nuestro blog:</t>
  </si>
  <si>
    <t>http://verdaderaizquierda.blogspot.com</t>
  </si>
  <si>
    <t>https://twitter.com/Santi_ABASCAL/status/1069742941315481603
https://twitter.com/okdiario/status/1069677974402809859</t>
  </si>
  <si>
    <t>Eduardoguillentablada66. Cubano y Español 100%.</t>
  </si>
  <si>
    <t>Fíjense Bien en el vídeo y el Contenedor que desplazan los CDRs!!. "Atropellan aun Anciano". "Estas son las Guerrillas de Quim Torras" a las que Alienta que "APRIETEN", igual que hace Pablo Iglesias, en el resto de España con sus Perrosflautas. Esto no lo saca la SECTA TV. RT @mimariban: Malnacidos violentos separatas ayer atropellan a un anciano en Tarrasa rompiéndole la cadera. Vergonzoso, aunque no salga en las televisiones sectarias, que no quede impune. Cobarde #SanchezDimision #EleccionesGeneralesYa 🇪🇸 #155Ya</t>
  </si>
  <si>
    <t>Opino lo que me da la real gana. VIVA ESPAÑA, VIVA EL REY, VIVA LA GUARDIA CIVIL Y VIVA LA CONSTITUCION ESPAÑOLA (en particular el Art 155 AHORA MAS QUE NUNCA)</t>
  </si>
  <si>
    <t>https://twitter.com/mimariban/status/1071353372605890560</t>
  </si>
  <si>
    <t>pic.twitter.com/mzPAbVCb5z</t>
  </si>
  <si>
    <t>El concepto ideológico, Izquierda-Derecha es, Falso. En democracia los políticos son Perroflautas sinvergüenzas o gente con sentido común, con estos me quedo.</t>
  </si>
  <si>
    <t>Evan Lewis</t>
  </si>
  <si>
    <t>cuidao con las alergias, rojos.!! jeje @sanchezcastejon @Pablo_Iglesias_ @B_garzon @agarzon @pepabueno @prisa @IgnacioEscolar @JosepBorrellF @JoaquimBoschGra @JesusCintora @elisabeni @antonlosada @abalosmeco @AntonioMaestre @anapastor @AntonioMiguelC @jmcontrerasTV @ivanredondo RT @TribunaEspana: Día de La Inmaculada, Patrona de "Las Españas". Somos quien somos gracias a la FE y a la espada - La Tribuna de España</t>
  </si>
  <si>
    <t>JUAN L. MONTILLA M.</t>
  </si>
  <si>
    <t>El Rey llamó a Pablo Iglesias para preocuparse por sus hijos y así se lo ha 'agradecido' Iglesias  Compartido desde Descubre</t>
  </si>
  <si>
    <t>https://twitter.com/TribunaEspana/status/1071321093946925056
https://latribunadeespana.com/espana/dia-de-la-inmaculada-patrona-de-las-espanas#.XAuBCfrlSY4.twitter</t>
  </si>
  <si>
    <t>🇳🇴</t>
  </si>
  <si>
    <t>Venezuela</t>
  </si>
  <si>
    <t>RVH</t>
  </si>
  <si>
    <t>Ni con @sanchezcastejon, ni con @QuimTorraiPla, ni con @AdaColau, ni con @gabrielrufian, ni con @Pablo_Iglesias_, ni con @pnique, ni con @MonederoJC, ni con @susanadiaz, ni con @KRLS, ni con @carmencalvo_, ni con @LolaDelgadoG, ni con @Irene_Montero_ #MeFaltaPapelPaSeguir</t>
  </si>
  <si>
    <t>Jerseys De Futbol</t>
  </si>
  <si>
    <t>https://pbs.twimg.com/media/Dt4c5QgWwAATCk3.jpg</t>
  </si>
  <si>
    <t>http://dlvr.it/Qt7xqN</t>
  </si>
  <si>
    <t>Lo que ves es lo que hay, sin dobleces. Responsable social corporativa . Coordinadora de formación, maestra especialista en lenguas extranjeras.</t>
  </si>
  <si>
    <t>https://pbs.twimg.com/media/Dt5p7AKUwAAabHr.jpg</t>
  </si>
  <si>
    <t>México</t>
  </si>
  <si>
    <t>Gran variedad de jerseys a precios de fábrica.</t>
  </si>
  <si>
    <t>Plataforma #LaSilenciosaCat</t>
  </si>
  <si>
    <t>https://jerseysdefutbol.com</t>
  </si>
  <si>
    <t>#AvisoUrgente a @Pablo_Iglesias_ @gabrielrufian @sanchezcastejon La monarquia sólo preocupa el 0,2% a los españoles! 😱 Principales Problemas: ✔️Paro 35,8% ✅Corrupción 12,2% ✔️ Politicos 15,6% ✅ Economía 8% El 71,6% de los problemas son éstos #EleccionesYa #LaSilenciosaCat</t>
  </si>
  <si>
    <t>https://pbs.twimg.com/media/Dt4ZUUrX4AArqNO.jpg</t>
  </si>
  <si>
    <t>http://ramblalibre.com/2018/12/08/carta-a-pablo-iglesias-eres-un-botarate-rancio-al-que-solo-votan-las-emporradas/#.XAvT9kB6AqI.twitter</t>
  </si>
  <si>
    <t>El primer paso hacia el cambio es la conciencia. El segundo paso es la aceptación (Nathaniel Branden)</t>
  </si>
  <si>
    <t>http://lasilenciosacat.es</t>
  </si>
  <si>
    <t>marga alcaide garcia</t>
  </si>
  <si>
    <t>El día que se haga un referéndum te llevarás un palo como en Andalucia..@Pablo_Iglesias_ RT @Pablo_Iglesias_: “Una mayoría de españoles preferiría que España fuese una república y desea, además, que se celebre un referéndum para decidirlo. Eso es lo que se desprende de la última encuesta que YouGov ha elaborado en exclusiva para El HuffPost” 👇🏼</t>
  </si>
  <si>
    <t>https://twitter.com/Pablo_Iglesias_/status/1071105155255451649
https://www.huffingtonpost.es/2018/12/05/el-48-de-los-espanoles-prefiere-que-espana-sea-una-republica_a_23609576/</t>
  </si>
  <si>
    <t>oscarluislópez@gmail.com</t>
  </si>
  <si>
    <t>Po ir contra la carta Magna y COSTITUCION y la convivencia de todos los Españoles. Arriba España y la dignidad de la Guardia Civil y policía nacional y todos los cuerpos de seguridad del Estado el ejército y la lejion. ¿esta detras Pablo Iglesias y la ETA y Bildu?</t>
  </si>
  <si>
    <t>Sevilla, Andalucía</t>
  </si>
  <si>
    <t>el momento</t>
  </si>
  <si>
    <t>pic.twitter.com/mry54mLAkI</t>
  </si>
  <si>
    <t>2JesusMGranada2 #🇪🇸</t>
  </si>
  <si>
    <t>Recuerdos de los monjes @Pablo_Iglesias_ @sanchezcastejon @pnique ......... Que están muy contentos ✌🇪🇸🇪🇸🇪🇸</t>
  </si>
  <si>
    <t>uno mas Cristiano y amante de mis tradiciones y cultura. Si Español. Amo la verdad la honradez y la dignidad. Respecto los 10 mandamientos.</t>
  </si>
  <si>
    <t>pic.twitter.com/vd8Os7mRdC</t>
  </si>
  <si>
    <t xml:space="preserve">España 🇪🇸 </t>
  </si>
  <si>
    <t>🇪 🇸2JesusMGranada2</t>
  </si>
  <si>
    <t>Valencia</t>
  </si>
  <si>
    <t>Yolanda</t>
  </si>
  <si>
    <t>Pues las🐀de @ahorapodemos @Pablo_Iglesias_ y la marquesa como padres .. ni les duele 👎🏿👎🏿👎🏿👎🏿👎🏿👎🏿👎🏿👎🏿 RT @Ursulamascaro11: Venezuela, eso es lo que quiere podemos para Espańa. Que tristeza, pobres niños, pobre Venezuela bajo eso malvado sin piedad.</t>
  </si>
  <si>
    <t>https://twitter.com/ursulamascaro11/status/1071305851279982592
https://twitter.com/carola2hope/status/1071127505627541504</t>
  </si>
  <si>
    <t>¿como el presidente de los separatistas catalanes y PNV y Pablo Iglesias y la ETA no aplica el art.155.? ¿que tiene firmado contra la carta Magna y COSTITUCION y la convivencia de todos los Españoles?. A este presidente de la Guardia Civil y policía nacional lo deberían detener.</t>
  </si>
  <si>
    <t>pic.twitter.com/jfhfC9srka</t>
  </si>
  <si>
    <t>Miguel López</t>
  </si>
  <si>
    <t>Joer @Pablo_Iglesias_ siguen demostrando lo que eres de verdad !! RT @hermanntertsch: Vidas muy distintas las del líder de VOX y el Marqués de la Navata. Aquí se lo recuerda Abascal a Iglesias. Abascal se dirige a Iglesias.</t>
  </si>
  <si>
    <t>https://twitter.com/hermanntertsch/status/1071042034797035520</t>
  </si>
  <si>
    <t>Alcaraz, España</t>
  </si>
  <si>
    <t>No me creas demasiado optimista; conozco a mi país, y a muchos otros que lo rodean. Pero hay signos, hay signos. @MiercolesRepub1</t>
  </si>
  <si>
    <t>https://pbs.twimg.com/media/Dt0bCMwWoAAXK7G.jpg</t>
  </si>
  <si>
    <t>lolailo lole</t>
  </si>
  <si>
    <t>Más corrupción en POTEMOS. El delincuente comunista incitador de masas y maltratador de mujeres @Pablo_Iglesias_ no dice nada del mangoneo de @JM_Kichi y sus secuaces de @ahorapodemos</t>
  </si>
  <si>
    <t>https://okdiario.com/espana/2018/12/08/kichi-no-publica-adjudicaciones-del-ayuntamiento-cadiz-desde-que-gobierna-3412028</t>
  </si>
  <si>
    <t>Francisco José Segovia Ramos</t>
  </si>
  <si>
    <t>Cuando un periodista entra en esta dinámica, y usando sus mismas palabras, se convierte en un fascista:</t>
  </si>
  <si>
    <t>Granada</t>
  </si>
  <si>
    <t>Escritor granadino. Interesado en el arte y en la literatura. Siempre crítico y nada conformista</t>
  </si>
  <si>
    <t>Falero 🇪🇸 🇪🇺</t>
  </si>
  <si>
    <t>Epitafio de Podemos: Fuiste una novela barata, mucha fama y poco contenido. Algo así como un cuento sin moraleja, escrito con mala ortografía. @pnique @Pablo_Iglesias_ @AdelanteAND @agarzon</t>
  </si>
  <si>
    <t>http://franciscojsegoviaramos.blogspot.com.es/</t>
  </si>
  <si>
    <t>pelargon</t>
  </si>
  <si>
    <t>Bueno....yo llamaría a declarar a Maduro ese fascista bolivariano que sustenta a este 🐖del podemita con más pena que gloria. A este perro le queda solo un desayuno Pablo Iglesias explicará el próximo 13 de diciembre la financiación de Podemos en el Senado</t>
  </si>
  <si>
    <t>https://www.cope.es/n/306562</t>
  </si>
  <si>
    <t>Independiente, me siento libre para opinar y expresarme. No soporto la hipocresía, la falta de respeto ni los totalitarismos.</t>
  </si>
  <si>
    <t>Adrián GV</t>
  </si>
  <si>
    <t>A ver si ahora @Pablo_Iglesias_ va a ser también el culpable del Tsunami de Fukusima muchacho. @Santi_ABASCAL RT @Santi_ABASCAL: Dijimos que señalábamos a Pablo Iglesias como instigador de este clima de odio y de las agresiones que se produjeran...y hoy lo reiteramos. ¿Hasta cuándo van a a seguir los comunistas podemitas rompiendo la convivencia?</t>
  </si>
  <si>
    <t>Pedro Roglá Llongo</t>
  </si>
  <si>
    <t>Me ha gustado un vídeo de @YouTube ( - UN MENSAJE PARA PABLO IGLESIAS POR LOS INSULTOS Y AMENAZAS CONTRA VOX).</t>
  </si>
  <si>
    <t>-Hay una leyenda que recorre el mundo entero- RBB. 4.💜 Eternos🍀☀🌜.</t>
  </si>
  <si>
    <t>http://youtu.be/12Qr1C18reM?a</t>
  </si>
  <si>
    <t>Valencia, Spain</t>
  </si>
  <si>
    <t>Amateur film director</t>
  </si>
  <si>
    <t>https://www.youtube.com/channel/UC63sklogN-TIpHg606aJJMw</t>
  </si>
  <si>
    <t>Dexter Te Necesito</t>
  </si>
  <si>
    <t>A @Pablo_Iglesias_ puedes votarle. Se llama democracia. RT @Albert_Rivera: Nacionalismo y populismo son hoy las mayores amenazas a España y a Europa. Iglesias ataca diariamente a la Constitución y a la Jefatura del Estado. Yo si tengo que escoger entre él o Felipe VI... Qué queréis que os diga 😉 #40AñosDeConstitución</t>
  </si>
  <si>
    <t>https://twitter.com/albert_rivera/status/1070425503234961410</t>
  </si>
  <si>
    <t>pic.twitter.com/hNGxlsIz8P</t>
  </si>
  <si>
    <t>Frantasy B3 🎗️</t>
  </si>
  <si>
    <t>Mejor contestado imposible. Olé tú ♥️</t>
  </si>
  <si>
    <t>Serial Killer serio y profesional se ofrece para sanear los mercados. Herramientas propias. Total discreción.</t>
  </si>
  <si>
    <t>https://m.publico.es/columnas/110597571549/dominio-publico-carta-al-tipo-que-mando-una-carta-a-pablo-iglesias</t>
  </si>
  <si>
    <t>Donde haya comida</t>
  </si>
  <si>
    <t>Lv.22. Cómico cuando se puede. Videojuegos=😍 Con la L siempre puesta. El sedentarismo me esta matando. Estudiando duro (bueno solo un poco :3).</t>
  </si>
  <si>
    <t>https://www.youtube.com/channel/UC3xGO7-Lixn_-ydwent-qvQ</t>
  </si>
  <si>
    <t>Josep Pou Tarres</t>
  </si>
  <si>
    <t>Las televisiones que ponen el objetivo de los violentos en #VOX son tan culpables de las agresiones como el propio @Pablo_Iglesias_ RT @RIVAS_Llanera: 📽 @Pablo_Iglesias_ califica a @vox_es como la corriente FRANQUISTA del @PPopular y a su líder @Santi_ABASCAL como un corrupto, bajo la Protección de @EsperanzAguirre 🔴 PREGUNTA ⁉️ ¿ Qué es @ahorapodemos y su líder ? @Pablo_Iglesias_ en Espejo Público.</t>
  </si>
  <si>
    <t>Carlos Javier - #VOX</t>
  </si>
  <si>
    <t>Por favor os pido vuestra firma, un diputado del congreso no puede actuar como un completo mafioso, echemoslo de la politica. Ministerio de Justicia: Pena de prisión de 1 a 4 años para Pablo Iglesias por delito de Odio - ¡Firma la petición!  vía @change_es</t>
  </si>
  <si>
    <t>http://chng.it/PV22Fhh2</t>
  </si>
  <si>
    <t>Malaga, España</t>
  </si>
  <si>
    <t>Malagueño, Andaluz, Español, en defensa de Cataluña y por la unidad de España. #vox buena alternativa. Antipodemos, y otras mermas separatistas.</t>
  </si>
  <si>
    <t>Vallgorguina, España</t>
  </si>
  <si>
    <t>Tradicionalista, catalán, taurino. No discuto con separatistas. Critico a los partidos políticos (PP-PSOE-Podemos) que han traicionado la Nación</t>
  </si>
  <si>
    <t>http://620604.site123.me/#</t>
  </si>
  <si>
    <t>José Sánchez Melero 🎗</t>
  </si>
  <si>
    <t>¿Entonces los ha despertado el independentismo o no? @Pablo_Iglesias_ RT @MorenoG_Agustin: Qué clarito que tiene @Pablo_Iglesias_ quién es Vox: No son nuevos, vienen del PP: son una corriente aznarista y de Esperanza Aguirre; son el PP sin complejos: Son la corriente franquista del Partido Popular.</t>
  </si>
  <si>
    <t>https://twitter.com/morenog_agustin/status/1071132248479535107</t>
  </si>
  <si>
    <t>pic.twitter.com/iADKUPm4Iv</t>
  </si>
  <si>
    <t>Navigator</t>
  </si>
  <si>
    <t>Carta abierta de Santiago Abascal a Pablo Iglesias: 'Lo tienes crudo'</t>
  </si>
  <si>
    <t>Girona</t>
  </si>
  <si>
    <t>Advocat i Economista</t>
  </si>
  <si>
    <t>https://www.periodistadigital.com/opinion/cartas-al-director/2018/12/08/carta-abierta-de-santiago-abascal-a-pablo-iglesias-lo-tienes-crudo.shtml#.XAvPmI0L0es.twitter</t>
  </si>
  <si>
    <t>Failure is not an option. Freedom is not free.</t>
  </si>
  <si>
    <t>José Dorado Vargas</t>
  </si>
  <si>
    <t>El chupar del bote es una práctica muy extendida en nuestro país, de la que también es un gran experto @Pablo_Iglesias_ y algunos de sus camaradas. Tanto del bote nacional como de algún que otro foráneo</t>
  </si>
  <si>
    <t>Daredevil 🇪🇸🇫🇷🇪🇺</t>
  </si>
  <si>
    <t>Ministerio de Justicia: Pena de prisión de 1 a 4 años para Pablo Iglesias por delito de Odio - ¡Firma la petición!  vía @change_es Los llamados profesores de ciencia política hacen llamamientos a la violencia y en contra de la democracia?, Pobres alumnos.</t>
  </si>
  <si>
    <t>http://chng.it/R5dkC54W</t>
  </si>
  <si>
    <t>Serge</t>
  </si>
  <si>
    <t>Esto sí es para sacar las banderas a los balcones y hacer una manifestación total en España de repulsa y de unidad, por qué no se hace? @vox_es @Santi_ABASCAL @pablocasado_ @ahorapodemos @Pablo_Iglesias_ @ierrejon @sanchezcastejon @Albert_Rivera</t>
  </si>
  <si>
    <t>Estar preparados para la guerra es uno de los medios más eficaces para conservar la paz (George Washington).</t>
  </si>
  <si>
    <t>https://m.publico.es/economia/2071704/la-corrupcion-hace-que-espana-pierda-mas-90000-millones-al-ano</t>
  </si>
  <si>
    <t>La mejor victoria es vencer sin combatir</t>
  </si>
  <si>
    <t>🚩NOTICIA #SinFiltro</t>
  </si>
  <si>
    <t>España: Los foros de la militancia de Podemos arden contra Pablo: "Pablo, cállate y haz autocrítica"</t>
  </si>
  <si>
    <t>https://okdiario.com/espana/2018/12/05/foros-militancia-podemos-arden-contra-iglesias-pablo-callate-haz-autocritica-3427399</t>
  </si>
  <si>
    <t>Eva 💃</t>
  </si>
  <si>
    <t>A ver si se enteran @ahorapodemos @iunida @PSOE @Pablo_Iglesias_ @pnique @agarzon @sanchezcastejon @susanadiaz y demás demagogos ... RT @Nanchinho: Fascista no es quien consigue diputados en unas elecciones democráticas, lo es quien utiliza la violencia para lograrlo o para impedírselo a los demás.</t>
  </si>
  <si>
    <t>Tonga</t>
  </si>
  <si>
    <t>Sin productividad no hay progreso.</t>
  </si>
  <si>
    <t>https://twitter.com/Nanchinho/status/1070800587527282689</t>
  </si>
  <si>
    <t>ROBERT RODRIGUEZ</t>
  </si>
  <si>
    <t xml:space="preserve">CC - Extremadura - España </t>
  </si>
  <si>
    <t>Don't trust words! Only actions proves that words are not meaningless 🇪🇸🇩🇪 Español, Deutsch, English, Français</t>
  </si>
  <si>
    <t>FR+++FERMIN TEMPLARIO</t>
  </si>
  <si>
    <t>Dos afiliados de @vox_es han sido agredidos en Lorca (Murcia), cuando se encontraban trabajando en la sede de su partido. Imagino que estarás contento, @Pablo_Iglesias_, ya estás consiguiendo lo que querías.</t>
  </si>
  <si>
    <t>GIRONA - SPAIN</t>
  </si>
  <si>
    <t>NACÍ EL 24 NOV.EN BARBERÁ DEL VALLES,BARCELONA.ME GUSTA VIAJAR,EL DEPORTE,EL CINE Y LA CULTURA.SOY MUY SOCIABLE Y LEAL CON LOS AMIGOS.</t>
  </si>
  <si>
    <t>Alpedrete, España</t>
  </si>
  <si>
    <t>http://www.cdtonline.es</t>
  </si>
  <si>
    <t>MELONCANTALOU</t>
  </si>
  <si>
    <t>El podemita que dice que va a salir a "matar fascistas" se fotografía con Teresa Rodríguez  @Pablo_Iglesias_ muy democrático todo Pablete muy de tu estilo democrático</t>
  </si>
  <si>
    <t>https://okdiario.com/espana/andalucia/2018/12/07/podemita-que-dice-que-va-salir-matar-fascistas-fotografia-teresa-rodriguez-3437549/amp</t>
  </si>
  <si>
    <t>Rafael Martínez</t>
  </si>
  <si>
    <t>Tenemos que minimizar a los de extrema izquierda en todo el mundo. Ministerio de Justicia: Pena de prisión de 1 a 4 años para Pablo Iglesias por delito de Odio - ¡Firma la petición!  vía @ChangeorgLatino</t>
  </si>
  <si>
    <t>muy crítico con las injusticias, #No a las Comunidades Autónomas, solo Gobierno Central, limpieza de funcionarios y cargos qye no sirven para nada</t>
  </si>
  <si>
    <t>http://chng.it/xqTykCNC</t>
  </si>
  <si>
    <t>AMANECER ROJIGUALDA</t>
  </si>
  <si>
    <t>Tus queridos amigos @Pablo_Iglesias_ RT @arte_3046: Carta a Santiago Abascal de la puta ETA, pidiendole 10 millones de pesetas......</t>
  </si>
  <si>
    <t>Ideología: Centro derecha</t>
  </si>
  <si>
    <t>https://twitter.com/arte_3046/status/1071303960512876544</t>
  </si>
  <si>
    <t>https://pbs.twimg.com/media/Dt4JOFEW4AAK0du.jpg</t>
  </si>
  <si>
    <t>La pasión sabe a vino, el amor a café.</t>
  </si>
  <si>
    <t>Israel y Oriente Medio</t>
  </si>
  <si>
    <t>Estos son los que financian a Pablo Iglesias: Irán amenaza a Occidente con un "diluvio" de drogas, refugiados y atentados si continúan las sanciones</t>
  </si>
  <si>
    <t>mmillan</t>
  </si>
  <si>
    <t>Algo que decir de esto @Pablo_Iglesias_ @MonederoJC @pnique esa es la gestión comunista de uno de los paises más ricos de América, el comunismo, donde va, arruina y crea miseria!! Y, queréis gobernar España??, lo que tenéis que hacer es DESAPARECER!!!! RT @hermanntertsch: Vean lo sucedido en 24 horas en un hospital socialista del paraíso de Podemos. Esto no lo pueden imaginar Pablo e Irene que tienen dos niños sanos gracias a la sanidad de la región de Madrid (organizada durante décadas por el gobierno del PP,) sin duda la mejor de España.</t>
  </si>
  <si>
    <t>🇪🇸🇮🇱</t>
  </si>
  <si>
    <t>https://israelorientemedio.blog/</t>
  </si>
  <si>
    <t>https://twitter.com/hermanntertsch/status/1071178366483599366
https://twitter.com/Carola2hope/status/1071127505627541504</t>
  </si>
  <si>
    <t>cordoba</t>
  </si>
  <si>
    <t>que bien repartida esta la razon, todos creemos tener mas que nadie!!</t>
  </si>
  <si>
    <t>PPF</t>
  </si>
  <si>
    <t>Los problemas en Cataluña fueron alentados por el Chepa como llamo a la violencia en Andalucía lo había hecho en Cataluña debe #ElChepaAlTalego</t>
  </si>
  <si>
    <t>https://www.change.org/p/ministerio-de-justicia-pena-de-prisi%C3%B3n-de-1-a-4-a%C3%B1os-para-pablo-iglesias-por-delito-de-odio?recruiter=883642584&amp;utm_source=share_petition&amp;utm_medium=twitter&amp;utm_campaign=psf_combo_share_initial.pacific_email_copy_en_gb_4.v1.pacific_email_copy_en_us_3.control.pacific_email_copy_en_us_5.v1.pacific_post_sap_share_gmail_abi.control.lightning_2primary_share_options_more.variant&amp;utm_term=psf_combo_share_abi.pacific_email_copy_en_us_3.control.pacific_email_copy_en_gb_4.v1.pacific_email_copy_en_us_5.v1.pacific_post_sap_share_gmail_abi.control.lightning_2primary_share_options_more.control</t>
  </si>
  <si>
    <t>👍No se leen mermaos; ni te molestes en escribirme bloqueo a todo neo-progre, pijo-pepero o perroflauta que es casi lo mismo. PATRIA, ORDEN Y FAMILIA.✋🇪🇸</t>
  </si>
  <si>
    <t>Ojiplatico🇪🇸</t>
  </si>
  <si>
    <t>Hola. Aprended algo. @Pablo_Iglesias_ @pnique @sanchezcastejon @gabrielrufian RT @elespanolcom: Este es Joaquín de Ariza, el hombre que perdonó a Carrillo tras el fusilamiento de su padre. Texto de @DanielRamirez99 | Vídeo de @ClaraRguez</t>
  </si>
  <si>
    <t>Carta abierta de Santiago Abascal a Pablo Iglesias: Lo tienes crudo</t>
  </si>
  <si>
    <t>Ni lobo ni cordero. Perro guardián. Manejar con cuidado. Ataraxia. España no está disponible para vuestra basura.</t>
  </si>
  <si>
    <t>Vicent G. Devís</t>
  </si>
  <si>
    <t>Sobre el fascismo y los fascista. Bona resposta a un manipulador!</t>
  </si>
  <si>
    <t>tonigruiz</t>
  </si>
  <si>
    <t>Gracias a @ahorapodemos @pnique @Pablo_Iglesias_ @sanchezcastejon habéis conseguido sacar el sentimiento patriótico de los ciudadanos Os merecéis que os echen del país en un barco de rejillas</t>
  </si>
  <si>
    <t>País Valencià</t>
  </si>
  <si>
    <t>Periodista. Excorresponsal a Brussel.les. Ara, en @PuntDocs @apunt_media</t>
  </si>
  <si>
    <t>Palma, España</t>
  </si>
  <si>
    <t>Amor por España y por el RCD Mallorca</t>
  </si>
  <si>
    <t>VitØ</t>
  </si>
  <si>
    <t>Yo solo te digo una cosa @Pablo_Iglesias_ . Como alguno de tus niños sicario toque a alguien de mi familia por votar a VOX. Vas a saber quienes somos los que de verdad estuvimos en el 15M</t>
  </si>
  <si>
    <t>Identitario Español Antiglobalización. Socio del Real Madrid. Economista. Trader. " 1,618 " , el número de los dioses. Ø PHI. Especulando desde 1.996</t>
  </si>
  <si>
    <t>No olvidéis firmar para que el golfo incitador de odio y violencia y maltratador de mujeres tenga su castigo. No te librarás perroflauta @Pablo_Iglesias_</t>
  </si>
  <si>
    <t>Van casi 3500 firmas clama tu también por justicia.</t>
  </si>
  <si>
    <t>https://www.change.org/p/ministerio-de-justicia-pena-de-prisi%C3%B3n-de-1-a-4-a%C3%B1os-para-pablo-iglesias-por-delito-de-odio?recruiter=19344916&amp;utm_source=share_petition&amp;utm_medium=twitter&amp;utm_campaign=psf_combo_share_abi.pacific_email_copy_en_gb_4.v1.pacific_email_copy_en_us_5.v1.pacific_email_copy_en_us_3.control.pacific_post_sap_share_gmail_abi.control.lightning_2primary_share_options_more.control&amp;utm_term=share_petition</t>
  </si>
  <si>
    <t>Realpolitik</t>
  </si>
  <si>
    <t>A @Pablo_Iglesias_ no le gusta la CE y nuestra democracia, pero le gustan y enaltece regímenes comunistas con más de 100 mill de muertos a sus espaldas. 👉 Hasta se a comprado su DACHA en Galapagar. Si Lenin, Stalin y Trotsky la tenían, porqué no él?</t>
  </si>
  <si>
    <t>https://pbs.twimg.com/media/Dt4K1xJXgAUCQaB.jpg</t>
  </si>
  <si>
    <t>La libertad de expresión lleva consigo cierta libertad para escuchar (B.Marley)</t>
  </si>
  <si>
    <t>guille gonzalez</t>
  </si>
  <si>
    <t>Jose Medina Revuelta</t>
  </si>
  <si>
    <t>⁦@ElHuffPost⁩ y ⁦@BuzzFeedEspana⁩ son la prensa con menos confianza según esta encuesta ⁦@Tioblancohetero⁩ ⁦@Pablo_Iglesias_⁩</t>
  </si>
  <si>
    <t>Barcelona, Spain</t>
  </si>
  <si>
    <t>#Criminologist, #writer, I love dogs and beach /Criminólogo, escritor, cosa.</t>
  </si>
  <si>
    <t>http://www.anomics.es</t>
  </si>
  <si>
    <t>http://fnpi.org/es/etica-segura/estudio-identifica-10-medios-con-mas-credibilidad-en-estados-unidos</t>
  </si>
  <si>
    <t>Físico, ávido lector y apasionado de la historia. Si eres bueno por interés serás astuto pero nunca bueno. Cicerón</t>
  </si>
  <si>
    <t>Percival Manglano</t>
  </si>
  <si>
    <t>Pablo Iglesias sólo rinde homenaje a jefes de Estado que destrozan a sus países, llevan su economía a la ruina y provocan el éxodo de millones de sus ciudadanos. Es lógico que no aplaudiese ayer al rey de España.</t>
  </si>
  <si>
    <t>Es que hay ser tonto, pero muuuuuuu tonto. Tonto del tó. Como lo es @Pablo_Iglesias_ el fascista incitador de odio y maltratador de mujeres. RT @AdraColacau: No quiero que esta foto desaparezca, el chepas con la publicidad del Salón Beauty en la solapa no tiene precio</t>
  </si>
  <si>
    <t>Ante todo, mucha libertad. Concejal del Ayuntamiento de Madrid (PP).</t>
  </si>
  <si>
    <t>rucKis</t>
  </si>
  <si>
    <t>Editando</t>
  </si>
  <si>
    <t>Trendinalia España</t>
  </si>
  <si>
    <t>Los 20 tuits más RTs de @gabrielrufian @joninarritu @jordi_canyas @rosadiezglez @santi_abascal @jorditurull @agarzon @manuelacarmena @inesarrimadas @marta_sibina @quimforn @tonicanto1 @pablo_iglesias_ @albanodante76 @joseprull el viernes 7 de diciembre</t>
  </si>
  <si>
    <t>https://twitter.com/trendinaliaES/timelines/1071285280697544714</t>
  </si>
  <si>
    <t>Las tendencias de Twitter, Google y YouTube en la geografía española — #trndnl</t>
  </si>
  <si>
    <t>http://trendinalia.com/twitter-trending-topics/spain/</t>
  </si>
  <si>
    <t>estea76</t>
  </si>
  <si>
    <t>Bolchevique ⁦@Pablo_Iglesias_⁩ te equivocas, no permitiremos que te instales en la calle ⁦@ahorapodemos⁩</t>
  </si>
  <si>
    <t>https://pbs.twimg.com/media/Dt4Emb8X4AASixW.jpg</t>
  </si>
  <si>
    <t>Situaciones Difíciles</t>
  </si>
  <si>
    <t>Oye mira @pnique @Pablo_Iglesias_ que dice Anguita que si los de la izd son unos ladrones y los de la extrema derecha no mejor VOTAR extrema derecha @ahorapodemos</t>
  </si>
  <si>
    <t>https://www.youtube.com/watch?time_continue=9&amp;v=f_WOL_xX_T8</t>
  </si>
  <si>
    <t>WALKERTEXASRANGER</t>
  </si>
  <si>
    <t>Bertín Osborne hunde en la miseria a Pablo Iglesias: "Yo no le voto ni muerto y ni borracho de vino"  vía @Periodistadigit LOOOOOL, ZASCA EN TODA LA PUTA BOCA 😂😂😂😂😂</t>
  </si>
  <si>
    <t xml:space="preserve">Zaragoza </t>
  </si>
  <si>
    <t>🇫🇷Las trampas del poder son infinitas y las mentiras más aún. 🇪🇸 #SanchezDimision Votaré @VOX_ES</t>
  </si>
  <si>
    <t>https://situacionesdficiles.blog/</t>
  </si>
  <si>
    <t>Padre 24/365</t>
  </si>
  <si>
    <t>Mariposeando 🇪🇸</t>
  </si>
  <si>
    <t>La democracia está tocada desde que Podemos @Pablo_Iglesias_ entró en el panorama político, Uno se juega la democracia cuando se junta con golpistas, Oteguis y manda salir a la calle a los suyos cuando no lo gusta lo que dicen las urnas, s decir los españoles 🇪🇸</t>
  </si>
  <si>
    <t xml:space="preserve">CALLE MI PUTA MADRE </t>
  </si>
  <si>
    <t>BUENAS GENTE MI CANAL SE LLAMA MERYREXAS EN TWITCH SI OS GUSTA PARTIROS LA POLLA O EL COÑO EN MIS DIRECTOS LO TENDRÉIS ASEGURADO UN SALUDO Y NOS VEMOS</t>
  </si>
  <si>
    <t>Comentando la actualidad</t>
  </si>
  <si>
    <t>https://pbs.twimg.com/media/Dt3-ctTWoAElMOe.jpg</t>
  </si>
  <si>
    <t>Eduardo Hdez.-Aznar</t>
  </si>
  <si>
    <t>Ministerio de Justicia: Pena de prisión de 1 a 4 años para Pablo Iglesias por delito de Odio - ¡Firma la petición!  vía @ChangeorgLatino</t>
  </si>
  <si>
    <t>Me encanta leer,el arte,viajar, salir con mi bici, adoro mi iPad!!!! y quedar con mis amigas para tomar algo y bla bla bla.</t>
  </si>
  <si>
    <t>http://chng.it/LB2RtB7W</t>
  </si>
  <si>
    <t>oscar jugon</t>
  </si>
  <si>
    <t>República Dominicana</t>
  </si>
  <si>
    <t>Que no os engañen... La verdad es que @Pablo_Iglesias_ es de @vox_es pero aún no lo sabe... Jajajaja RT @libertaddigital: El derecho a portar armas es una de las bases de la democracia excepto si las porta alguien de VOX y además a caballo, que entonces dónde vamos a llegar en pleno 2018.</t>
  </si>
  <si>
    <t>Estratega y consultor de reputación español en Hispanoamérica. Senior Managing Director para Iberoamérica y Estados Unidos en la multinacional LINKSWorldGroup.</t>
  </si>
  <si>
    <t>https://elestrado.wordpress.com</t>
  </si>
  <si>
    <t>https://twitter.com/libertaddigital/status/1071059601355927552</t>
  </si>
  <si>
    <t>pic.twitter.com/ylAs9vnvTB</t>
  </si>
  <si>
    <t>ISABEL RAMOS</t>
  </si>
  <si>
    <t>http://oscarjugon.blogspot.com/</t>
  </si>
  <si>
    <t>http://www.podemospabloiglesias.com/?page=votante-carta-avalcal&amp;type=actualidad#.XAvLOiXGslw.twitter</t>
  </si>
  <si>
    <t>andrianopoulos</t>
  </si>
  <si>
    <t>te dejo este logo aquí, @pablo_iglesias_ para que no digan que plagiaste el tuyo de una peluquería.</t>
  </si>
  <si>
    <t>https://pbs.twimg.com/media/Dt3yWZKWwAIsx_k.jpg</t>
  </si>
  <si>
    <t>puerto hurraco</t>
  </si>
  <si>
    <t>proctólogo · pionero del post-humor · inventor del hímen · gobernador franco-prusiano · crooner albino cojo · minero malhablado · twittero non grato.</t>
  </si>
  <si>
    <t>https://karlattacks.tumblr.com/</t>
  </si>
  <si>
    <t>Bernat Moix</t>
  </si>
  <si>
    <t>Carta al tipo que mandó una carta a Pablo Iglesias:</t>
  </si>
  <si>
    <t>Tesa</t>
  </si>
  <si>
    <t>Mientras los voceros mediáticos y algunos partidos políticos se rasgan las vestiduras porque @Pablo_Iglesias_ y Unidos Podemos no rinden pleitesía a la Monarquia corrupta ,Mientras la justicia deja en libertad a un policía corrupto , para que no salga la traca final .#FelizSábado</t>
  </si>
  <si>
    <t>Ideòleg desficiós. Sols els paranoics sobreviuen. #AlgúHoHaviaDeDir</t>
  </si>
  <si>
    <t>https://pbs.twimg.com/media/Dt3yTQrWsAAB1D_.jpg</t>
  </si>
  <si>
    <t>País Valenciá</t>
  </si>
  <si>
    <t>Republicana ❤💛💜 Podemita SI SE PUEDE !✊</t>
  </si>
  <si>
    <t>Miguepe</t>
  </si>
  <si>
    <t>SEVILLA DIA A DÍA</t>
  </si>
  <si>
    <t>A ver quiénes son más fascista, aparte de por no respetar el resultado electoral. Claramente los de @Pablo_Iglesias_ y echeminga @pnique</t>
  </si>
  <si>
    <t>http://chng.it/99rnvKpJ</t>
  </si>
  <si>
    <t>https://pbs.twimg.com/media/Dt3wWrtW4AATi7R.jpg</t>
  </si>
  <si>
    <t>SEVILLA</t>
  </si>
  <si>
    <t>Eva Pesquera Solé</t>
  </si>
  <si>
    <t>Señor @Pablo_Iglesias_ , la libre decision de los pueblos dará lugar a lo que los pueblos decidan, ya sea un proyecto unido o varios proyectos separados.</t>
  </si>
  <si>
    <t>https://elpais.com/politica/2018/11/28/actualidad/1543424221_050040.html</t>
  </si>
  <si>
    <t>Valls/Carballedo</t>
  </si>
  <si>
    <t>36 anys, catalana, nacionalista i republicana. Donec Perficiam. La llibertat d'expressió només té sentit si la sabem reconèixer als nostres adversaris.</t>
  </si>
  <si>
    <t>saenz de varona</t>
  </si>
  <si>
    <t>CON TODO MI AMOR A COLETA MORADA (no pienso pagarte el peluquero) Para @Pablo_Iglesias_</t>
  </si>
  <si>
    <t>https://pbs.twimg.com/media/Dt3KashW0AAWQwZ.jpg</t>
  </si>
  <si>
    <t>Anti-Podemos</t>
  </si>
  <si>
    <t>Carta abierta de Santiago Abascal a Pablo Iglesias: "Lo tienes crudo" 😂😂😂</t>
  </si>
  <si>
    <t>Sotogrande ( Cádiz ) España</t>
  </si>
  <si>
    <t>Dr. en Derecho. Lcdo. Empresariales ICADE. MBA Berkeley University. Exprofesor Universidad de Sevilla y de la UNED. Del Instituto Estudios Campogibraltareños</t>
  </si>
  <si>
    <t>http://www.saenzsotogrande.blogspot.com</t>
  </si>
  <si>
    <t>Plataforma de españoles y venezolanos a los que no nos gusta Podemos.</t>
  </si>
  <si>
    <t>monnissima</t>
  </si>
  <si>
    <t>https://www.facebook.com/pages/Espa%C3%B1oles-y-Venezolanos-Anti-Podemos/885396501484393?sk=timeline</t>
  </si>
  <si>
    <t>Me imagino al maldito @Pablo_Iglesias_ cogiendose el pene mientras niños muertos por falta de luz en hospitales o X falta de medicamentos o alimentos mmm que divino debe ser un polvo con este maldito degenerado no?</t>
  </si>
  <si>
    <t>Dicen que un Tweet es un estado mental un manual para aprender a llorar la banda sonora del desamor un gato en celo oculto en un callejon....</t>
  </si>
  <si>
    <t>http://page.is/monnissima</t>
  </si>
  <si>
    <t>Jacc</t>
  </si>
  <si>
    <t>Hola @Pablo_Iglesias_ serás juzgado por fomentar ésto. RT @Enriquitaun: @danierdecai35 Otra cosa. Esto es propaganda para todos los fachas que son mayoría en España y están deseando darnos de tortas. Porque nunca han tenido argumentos para doblegarnos. La cuenta atrás empezó hace tiempo. A lo mejor hasta me anima a participar en el conflicto.</t>
  </si>
  <si>
    <t>https://twitter.com/Enriquitaun/status/1070802513023115271</t>
  </si>
  <si>
    <t>M@men♉</t>
  </si>
  <si>
    <t>Os imagináis que los medios demonizaran a Rivera por su comparación con Macron, un día sí y otro también. Pues sucede con Venezuela y Pablo Iglesias, continuamente (mintiendo la mayoría de las veces) RT @europapress: #AMPLIAMOS | La Policía francesa comienza a lanzar gases lacrimógenos mientras crece la tensión en los Campos Elíseos en París</t>
  </si>
  <si>
    <t>https://twitter.com/europapress/status/1071350539328385024
https://bit.ly/2L1S3HE</t>
  </si>
  <si>
    <t>https://pbs.twimg.com/media/Dt4zoRkXgAADQw7.jpg</t>
  </si>
  <si>
    <t>La ciencia debería dejar de investigar lo listo que es el mono e investigar lo estúpido que es el hombre.</t>
  </si>
  <si>
    <t>La solución de la lumbrera de Pablo Iglesias para resolver todos los problemas de la Patria: ser los mayores productores de porros del mundo.</t>
  </si>
  <si>
    <t>Star Butterfly</t>
  </si>
  <si>
    <t>Como veo a @sanchezcastejon y @Pablo_Iglesias_ muy interesados en saber a quien votamos para empezar sus listas negras, se lo voy a poner fácil: ¡YO VOTO A @vox_es ! ¡Y no veo la hora de veros salir de España para no volver! Ale, ya podéis ponerme en la lista de “malos”.</t>
  </si>
  <si>
    <t>MSKS</t>
  </si>
  <si>
    <t>Encabronada</t>
  </si>
  <si>
    <t>#VenezolanoPatriota</t>
  </si>
  <si>
    <t>Pero Pablo Iglesias se ha comprado un chalete. RT @elpidiojsilva: Coste de la corrupción española: MÁS de 90.000 millones al año. Causa: carencia de Justicia independiente. Mientras persista este expolio, seguirás financiando a criminales, y dedicando tu vida y trabajo al enriquecimiento de unos pocos #NoEsDemocracia</t>
  </si>
  <si>
    <t>#LaPrimaveraEnFranciaArde @EnmanuelMacron #9DVenezuelaEnEleccionesDemocraticas #FranciaNoEsCataluña @circulopodemos @martars21 @Pablo_Iglesias_ " Si vés las barbas de tu vecino arder, pon las tuyas en remojo "</t>
  </si>
  <si>
    <t>https://twitter.com/elpidiojsilva/status/1071350253306216448
https://www.publico.es/economia/corrupcion-espana-corrupcion-espana-pierda-90000-millones-ano.html</t>
  </si>
  <si>
    <t>https://www.libertaddigital.com/espana/2018-12-03/abascal-responsabiliza-a-pablo-iglesias-de-la-violencia-que-se-produzca-contra-su-partido-1276629261/</t>
  </si>
  <si>
    <t>Esos vecinos que nadie quiere tener: payaso, la tacones, pezuñas, vieja cotilla y portazos. Un buen vecino es un vecino muerto. Encabronada con la vida.</t>
  </si>
  <si>
    <t>https://pbs.twimg.com/media/Dt28_KGWsAAQffE.jpg</t>
  </si>
  <si>
    <t>Comerciante PATRIOTA y Leal al legado del Cmdte Supremo Hugo Chavez Venceremos el blokeo y la guerra contra el pueblo humilde.! ¡Venceremos!</t>
  </si>
  <si>
    <t>Podemos y Pablo Iglesias se han olvidado de hacer autocrítica y van a desaparecer por el sumidero de la historia.</t>
  </si>
  <si>
    <t>Elizabeth Rivera</t>
  </si>
  <si>
    <t>“¡Estáis en nuestro punto de mira!” Esta amenaza mafiosa, escrita en gallego lusista, apareció este miércoles en pasquines repartidos en la Universidad de Santiago de Compostela (USC). @Pablo_Iglesias_ FASCISTA ENFERMO DE ODIO Y PODER RT @elcorreogallego: Aparecen pasquines contra tres profesores de la @UniversidadeUSC. A media tarde de ayer un guardia de seguridad recorría las facultades para retirarlos. La orden llegó del Rectorado #Santiago</t>
  </si>
  <si>
    <t>https://twitter.com/elcorreogallego/status/1070596512831467520
http://goo.gl/2pRSSU</t>
  </si>
  <si>
    <t>https://pbs.twimg.com/media/DtuF2VcWkAAzUIs.jpg</t>
  </si>
  <si>
    <t>Santiago, Chile</t>
  </si>
  <si>
    <t>PRO Vida PRO Familia, No al comunismo, ni socialismo.</t>
  </si>
  <si>
    <t>http://lafamiliadedios.wordpress.com</t>
  </si>
  <si>
    <t>MiguelBrno _official</t>
  </si>
  <si>
    <t>Pablo Iglesias debe ser condenado por ir contra España. Ojalá fuera expulsado a su Venezuela del alma RT @Libert_Democrac: No tiene desperdicio. Con independencia de la estética del personaje y del acompañamiento estéril de Garzón, un discurso vacío, tendencioso, poniendo en duda malintencionadamente el papel del Rey el 23F y presentándose como salvadores. Asco y miedo.</t>
  </si>
  <si>
    <t>“¡Estáis en nuestro punto de mira!” Esta amenaza mafiosa, escrita en gallego lusista, apareció este miércoles en pasquines repartidos en la Universidad de Santiago de Compostela (USC). ASI EL NIVEL DE AMENAZAS DE LOS COMUNISTAS .... y después hablan de fascistas @Pablo_Iglesias_ RT @Guia_mispasos: Galicia: la algarada podemita degenera en amenazas ultraizquierdistas a demócratas  vía @ElentirVigo</t>
  </si>
  <si>
    <t>https://twitter.com/Guia_mispasos/status/1071217114294444032
http://www.outono.net/elentir/2018/12/07/galicia-la-algarada-podemita-degenera-en-amenazas-ultraizquierdistas-a-democratas/</t>
  </si>
  <si>
    <t>Singapur</t>
  </si>
  <si>
    <t>Is someone listening? ok, let me tell you the story...bloqueado por @ahorapodemos🔚 🐀 por ser democrata y Español 🔝</t>
  </si>
  <si>
    <t>@La-última-frontera</t>
  </si>
  <si>
    <t>JODER CON VOX; NO CORREN, VUELAN.@gabrielrufian @iescolar @pnique @Pablo_Iglesias_ @MayoralRafa @LaFallaras @JesusCintora @gerardotc @JoaquimBoschGra @agarzon @ahorapodemos @noepmp @pardodevera @DebatAlRojoVivo @carlosbardem @MonederoJC @rennoaltocampoo</t>
  </si>
  <si>
    <t>Pat</t>
  </si>
  <si>
    <t>Yo ya!! Este chavista no se saldrá con la suya #noqueremosotro36 Ministerio de Justicia: Pena de prisión de 1 a 4 años para Pablo Iglesias por delito de Odio - ¡Firma la petición!  vía @change_es</t>
  </si>
  <si>
    <t>https://pbs.twimg.com/media/Dt2y_PfWoAExsHI.jpg</t>
  </si>
  <si>
    <t>http://chng.it/GdZrjYsH</t>
  </si>
  <si>
    <t>No me toques los tacones... sólo creo en el ATLETI 🔴⚪️ Conmigo quien quiera, contra mi quien pueda... ESPAÑOLA MUY ESPAÑOLA MUCHO ESPAÑOLA 🇪🇸🇪🇸 ⛔️🎗✊🏼👿</t>
  </si>
  <si>
    <t>Las 01:44 del 8 de diciembre de 2018 , y @Pablo_Iglesias_ sigue sin estar detenido RT @Santi_ABASCAL: Dijimos que señalábamos a Pablo Iglesias como instigador de este clima de odio y de las agresiones que se produjeran...y hoy lo reiteramos. ¿Hasta cuándo van a a seguir los comunistas podemitas rompiendo la convivencia?</t>
  </si>
  <si>
    <t>https://twitter.com/santi_abascal/status/1071166776011055105
https://twitter.com/libertaddigital/status/1071126968064589824</t>
  </si>
  <si>
    <t>Voy a vivir cada día q me quede MALDITO COMUNISTA VIVIDOR CORRUPTO ASESINO @Pablo_Iglesias_ para cobrarte cada GOTA DE SANGRE Y DE MISERIA Y DE DOLOR Q CAUSAS TE EN VENEZUELA .. MALDITO PSICÓPATA. .</t>
  </si>
  <si>
    <t>Babunita Seco</t>
  </si>
  <si>
    <t>¿Qué han cenado hoy Vds. hoy @MonederoJC @Pablo_Iglesias_ @ierrejon @pnique ?? RT @cristiancrespoj: En sus marcas, listos, HAMBRE! Ya quisiera ver a los intelectualoides de izquierda y a los cerebros fritos comunistas del mundo en una maratón como esa para conseguir un pedazo de hueso y pellejo d cerdo. Maldito Castro, maldito @DiazCanelB, malditos hipócritas, maldito comunismo</t>
  </si>
  <si>
    <t>antoniobokeron</t>
  </si>
  <si>
    <t>Espero que el medico de sedella se tome un laxsante rapido.</t>
  </si>
  <si>
    <t>GlaciarCity España</t>
  </si>
  <si>
    <t>http://blogdebabunita.blogspot.com/</t>
  </si>
  <si>
    <t>uno que está hasta los mismísimos de chorizos y corruptos</t>
  </si>
  <si>
    <t>Julia.</t>
  </si>
  <si>
    <t>A mí la voz de @Pablo_Iglesias_ me suena unas veces a cura, otras veces contenida,otras veces falsa y la mayoría de las veces a odio y soberbia.</t>
  </si>
  <si>
    <t>Ramón Polo</t>
  </si>
  <si>
    <t>No discuto 🇪🇸🇪🇸 Antipodemita y antiseparatista Bloqueo a los trolls sin pensármelo</t>
  </si>
  <si>
    <t>Tierra (Universo)🌍</t>
  </si>
  <si>
    <t>La única bandera que representa mi sentir es la de la paz. Ramón Polo🕊️</t>
  </si>
  <si>
    <t>Miguel Jiménez</t>
  </si>
  <si>
    <t>El llamamiento podemita sigue causando estragos en Cataluña. El Gobierno sin hacer nada. Serás sinvergüenza @Pablo_Iglesias_</t>
  </si>
  <si>
    <t>APRIL</t>
  </si>
  <si>
    <t>Despues del fracaso electoral de Podemos Andalucia y la subida de VOX,...Pablo Iglesias visita diariamente la tumba del General Franco (Por si las moscas).</t>
  </si>
  <si>
    <t>https://pbs.twimg.com/media/Dt5bx5cWsAA2_I9.jpg</t>
  </si>
  <si>
    <t>Periso C.F. ⚽⚡🔥</t>
  </si>
  <si>
    <t>Política y Gobierno</t>
  </si>
  <si>
    <t>Beat</t>
  </si>
  <si>
    <t>Este pedófilo dice que le traten en femenino porque es una niña de cinco años. La autoidentificación de género os la metéis por donde os quepa. Ahora, a ofenderse por mis modales. @iunida @ALEASIU @agarzon @Pablo_Iglesias_ @elpce @elpcm @CiudadanosCs @PSOE @BeatrizGimeno1 RT @Skepticat_UK: Warning: Do not read this before dinner if you want to keep it down. Paedophile sucked his thumb throughout case after judge confiscated his doll  via @MetroUK</t>
  </si>
  <si>
    <t>https://twitter.com/Skepticat_UK/status/1071193106098348032
https://metro.co.uk/2016/12/06/paedophile-who-kissed-a-child-insists-hes-a-five-year-old-girl-and-brought-doll-to-court-6305005/?ito=article.desktop.share.top.twitter</t>
  </si>
  <si>
    <t>Loli Alonso👑</t>
  </si>
  <si>
    <t>Se van a Bruselas a proclamar la republica 😂😂 y dicen que desde el parlamento lo van a conseguir... JAJAJAJAJAJAJAJAJAJA ESTA GENTE SE FUMA LOS PORROS DE PABLO IGLESIAS 😂😂 ESTÁN FLIPANDO!!</t>
  </si>
  <si>
    <t>Desubicada</t>
  </si>
  <si>
    <t>Con el tiempo te vuelves más conservadora, es verdad, cada vez conservo más asco hacia el Capitalismo y los capitalistas. Mi pronombre es Her excellency.</t>
  </si>
  <si>
    <t>Jesus</t>
  </si>
  <si>
    <t>El día que tú @Pablo_Iglesias_ desaparezcas de la política, el respeto, la concordia y lo convivencia entre españoles volverán a nuestro país. Eres el peor “cancer” que ha padecido nuestro país en su historia reciente.</t>
  </si>
  <si>
    <t>Barcelona, Cataluña</t>
  </si>
  <si>
    <t>💙 ♏ 🍊🇪🇸 @Kur0Gami13 ~ 17💕</t>
  </si>
  <si>
    <t>https://instagram.com/ratonzitaspain/</t>
  </si>
  <si>
    <t>https://pbs.twimg.com/media/Dt2jWWOX4AAzWUd.jpg</t>
  </si>
  <si>
    <t>Libre de Taras y otros defectos de fabricación.</t>
  </si>
  <si>
    <t>galiza</t>
  </si>
  <si>
    <t>El sr abascal habla de la casa de pablo iglesias pero no habla de lo qlleva cobrando de la politica</t>
  </si>
  <si>
    <t>Buenas noches @MonederoJC @Pablo_Iglesias_ @ierrejon @pnique Estarán Vds. orgullosos RT @Carola2hope: Ocho (8) niños muertos en menos de 24 horas en el hospital central de Maracay, morían uno tras otros. Doctores tenían que tomar la dura decisión de a cuál niño de los 20 internados darle oxígeno de la única bombona existente en el lugar.</t>
  </si>
  <si>
    <t>Reino de galiza</t>
  </si>
  <si>
    <t>non contesto a fascistas, perden o tempo</t>
  </si>
  <si>
    <t>Ginju</t>
  </si>
  <si>
    <t>Canviar el món, diu 😂😂😂😂😂 Pablo "Gibraltar español" Iglesias! Pablo "si no te gustan missatge principis tengo otros" Iglesias 😂😂😂😂😂😂😂 Em moro! RT @Pablo_Iglesias_: “Quizá la izquierda necesita dejar de lado la épica para enamorarse de lo efectivo. Aceptar que no se acerca uno a la urna para cambiar el mundo, sino para que no le cierren el ambulatorio del barrio” Interesante este artículo de @gerardotc 👇🏼</t>
  </si>
  <si>
    <t>Lluís Viguera</t>
  </si>
  <si>
    <t>Excelente reflexión sobre la política de nuestro país. Diálogo de gran altura entre @EnricJuliana y @Pablo_Iglesias_ . Muy recomendable.</t>
  </si>
  <si>
    <t>https://pbs.twimg.com/media/Dt2f2GGWoAEZfN3.jpg</t>
  </si>
  <si>
    <t>Chesco</t>
  </si>
  <si>
    <t>LA SEMILLA DE UN CONFLICTO CIVIL EN ESPAÑA ESTÁ SEMBRADA POR LA ULTRAIZQUIERDA DE PABLO IGLESIAS Y LOS SECESIONISTAS</t>
  </si>
  <si>
    <t>Economist. Interested in...almost everything. Currently working in #healthcare #socialcare #education. Opinions here are my own.</t>
  </si>
  <si>
    <t>http://linkedin.com/in/luis-viguera-espejo-ba09423</t>
  </si>
  <si>
    <t>2ª CUENTA YA QUE LA PRIMERA FUÉ HACKEADA patriota,ex-militar de élite antiabortista,católico,madridista y anticomunista,solitario por vocación</t>
  </si>
  <si>
    <t>FRANCISCO TOMAS MIRO</t>
  </si>
  <si>
    <t>Según @Pablo_Iglesias_ , @QuimTorraiPla y los Super Falcon Pedro @sanchezcastejon si pierdes el partido manda a tu afición al campo y apalea a los 11 jugadores, lo mismo te dan la victoria, vaya pandilleros</t>
  </si>
  <si>
    <t>Alternativa Deportes</t>
  </si>
  <si>
    <t>: El recado de Bertín Osborne a Pablo Iglesias y Gabriel Rufián</t>
  </si>
  <si>
    <t>http://Marca.com
http://bit.ly/2Qpoki4</t>
  </si>
  <si>
    <t>Guatemala</t>
  </si>
  <si>
    <t>Que dice @Pablo_Iglesias_ que se está dejando papada porque le hace juego con la coleta y le disimula la chepa</t>
  </si>
  <si>
    <t>Noticias deportivas de Guatemala y el Mundo. Somos deportes Somos Alternativa. Miembros de Alternativa Radio Gt. @gtalternativa</t>
  </si>
  <si>
    <t>https://pbs.twimg.com/media/Dt2XEbZX4AEWYrP.jpg</t>
  </si>
  <si>
    <t>Cristóbal Delatorre</t>
  </si>
  <si>
    <t>http://dlvr.it/Qt7lqB</t>
  </si>
  <si>
    <t>https://pbs.twimg.com/media/Dt5aApTU8AEi_js.jpg</t>
  </si>
  <si>
    <t>Caballo Recostado</t>
  </si>
  <si>
    <t>A los que seguís sin llamar criminal a @Pablo_Iglesias_ por miedo a que os cierren la cuenta de tuiter. Deciros que sois basura, que no tenéis honor, y que probablemente os merezca como súbditos.</t>
  </si>
  <si>
    <t>Las Palmas de Gran Canaria</t>
  </si>
  <si>
    <t>Soy Republicano y de Podemos ✊ 💜. Soy alérgico al PP-Cs-Psoe.</t>
  </si>
  <si>
    <t>El paracaidista no es más hombre que los demás. Pero será siempre el mejor soldado de la Patria.</t>
  </si>
  <si>
    <t>Pedro L. Puebla</t>
  </si>
  <si>
    <t>Pero que miedo tiene este @Pablo_Iglesias_ RT @MorenoG_Agustin: Qué clarito que tiene @Pablo_Iglesias_ quién es Vox: No son nuevos, vienen del PP: son una corriente aznarista y de Esperanza Aguirre; son el PP sin complejos: Son la corriente franquista del Partido Popular.</t>
  </si>
  <si>
    <t>https://twitter.com/MorenoG_Agustin/status/1071132248479535107</t>
  </si>
  <si>
    <t>viti</t>
  </si>
  <si>
    <t>Alcalá de Henares, España</t>
  </si>
  <si>
    <t>Pasajero de un lugar llamado Mundo, disfrutando de la Vida y de cada Momento</t>
  </si>
  <si>
    <t>Podemitagentilicia 💪💜😉</t>
  </si>
  <si>
    <t>https://www.facebook.com/victoriandres</t>
  </si>
  <si>
    <t>Por muchas ostias que reciba de la caverna fascista de periodismo rancio, es el único que es capaz de decir las verdades como son. VOX es la ultraderecha de Aguirre, Aznar y más "dioses"del fascismo español. Gracias @Pablo_Iglesias_</t>
  </si>
  <si>
    <t>pic.twitter.com/UNKoUUTqsz</t>
  </si>
  <si>
    <t>Barcelona</t>
  </si>
  <si>
    <t>FSiM</t>
  </si>
  <si>
    <t>sam</t>
  </si>
  <si>
    <t>Si no recuerdo mal, el centro gallego de Bruselas acogió el primer acto de @Pablo_Iglesias_ en la ciudad antes de las elecciones europeas de 2014, gracias a @PodemosBelgica. RT @either_mark: Llamada del Secretario español y presiones de la Junta sobre el Centro Gallego de Bruselas para que suspenda un festival que habrá después del Consell de la República con Valtònic y Catarres. "Aplaudimos lo que han hecho los catalanes". 👏👏👏👏👏👏👏</t>
  </si>
  <si>
    <t>https://twitter.com/either_mark/status/1070971396547854336
http://www.elnacional.cat/es/politica/el-estado-presiona-el-centro-gallego-de-bruselas-para-que-suspenda-un-festival-en-catalan_332379_102.html</t>
  </si>
  <si>
    <t>Ben Quick #LibertadConstituyente #Demos</t>
  </si>
  <si>
    <t>ERC critica a PODEMOS, tras el discurso de Pablo Iglesias en Barcelona 📣 ANCIANOS JÓVENES, 🌍 Humildad,</t>
  </si>
  <si>
    <t>Política global, europea, local | International, local politics. | ES, EN, FR</t>
  </si>
  <si>
    <t>https://medium.com/@quilombosfera/</t>
  </si>
  <si>
    <t>https://goo.gl/dVfLX3?ewp96=5175589941</t>
  </si>
  <si>
    <t>Van gelder</t>
  </si>
  <si>
    <t>World</t>
  </si>
  <si>
    <t>Prinsjesdag = Día del Príncipe se celebra el tercer martes de Septiembre en Den Haag (La Haya) Holanda.El Rey da un discurso y para nosotros los holandeses es el día más importante. ❤ Si @Pablo_Iglesias_ viera así al Rey de España en carroza de oro le da una diarrea crónica😂😂</t>
  </si>
  <si>
    <t>B. Quick llega a un pequeño pueblo tras ser expulsado de otra ciudad, acusado de provocar un incendio. Allí es contratado por W. Varner, dueño y señor del lugar</t>
  </si>
  <si>
    <t>https://pbs.twimg.com/media/Dt2N9OdWsAANpjK.jpg</t>
  </si>
  <si>
    <t>#YoNoSintonizoMediaset ¯\_(ツ)_</t>
  </si>
  <si>
    <t>La televisión es el espejo donde se refleja la derrota de todo nuestro sistema cultural y MORAL__</t>
  </si>
  <si>
    <t>xavi</t>
  </si>
  <si>
    <t>Artículo fundamental para entender el crecimiento de Vox y la responsabilidad de algunas @JosepBorrellF @_anapastor_ @miqueliceta @susannagriso @anarosaq @FAQSTV3 @Pablo_Iglesias_ Fascismo y responsabilidad compartida</t>
  </si>
  <si>
    <t>https://www.elsaltodiario.com/fascismo/fascismo-responsabilidad-compartida</t>
  </si>
  <si>
    <t>BCN-la Plana Alta (PPCC)</t>
  </si>
  <si>
    <t>Professor d'economia d'institut. Educar també vol dir prendre partit. Marxista-gourmetista: foie, sostre i treball. Les arrels, al País de l'Olivera.</t>
  </si>
  <si>
    <t>KAKI</t>
  </si>
  <si>
    <t>Coincide con el bloqueo de @Pablo_Iglesias_ 🤔 RT @gabylopez83: Buenas noches amigos! Como me acaba de revelar nuestro compañero @TheDarkLord98, me ha hecho shadowbanned por lo que creo que muy poca gente ve mis tuits. No sé por cuánto tiempo será pero denuncio públicamente que no es justo pues no he faltado el respeto a nadie en Twitter.</t>
  </si>
  <si>
    <t>https://twitter.com/gabylopez83/status/1071161925734723584</t>
  </si>
  <si>
    <t>Extiende tu mano y toca la fe... #StopCristianofobia #StopIslamizacion Madridista 100% #AhoraVOX 🇪🇸</t>
  </si>
  <si>
    <t>Pablo Iglesias reconoce que se ha dejado usar por Irán para desestabilizar España  via @ElentirVigo</t>
  </si>
  <si>
    <t>Preguntabas @Pablo_Iglesias_ que pretendía o que se podía esperar de un hombre que se paseaba a caballo y con pistola. Mira.Pregúntaselo a tus amigos etarras. Por si te da corte...aquí tienes la respuesta.Casta!</t>
  </si>
  <si>
    <t>pic.twitter.com/fd1YPBIglM</t>
  </si>
  <si>
    <t>Jose</t>
  </si>
  <si>
    <t>Acabo de recordar que aún estaba inscrito en @ahorapodemos Ups!! Un afiliado menos,enhorabuena @Pablo_Iglesias_ #l6cCrisisDeLos40</t>
  </si>
  <si>
    <t>Jordi Serrano</t>
  </si>
  <si>
    <t>Carta al tipo que mandó una carta a Pablo Iglesias</t>
  </si>
  <si>
    <t>https://jordiserrano.wordpress.com/2018/12/08/carta-al-tipo-que-mando-una-carta-a-pablo-iglesias/</t>
  </si>
  <si>
    <t>https://pbs.twimg.com/media/Dt2MyutXgAADZaW.jpg</t>
  </si>
  <si>
    <t>https://pbs.twimg.com/media/Dt5X0OrXgAAiNW2.jpg</t>
  </si>
  <si>
    <t>Transportista, 28 años, orgulloso de ser español, conducir me aporta libertad.</t>
  </si>
  <si>
    <t>Carta a Pablo Iglesias: Eres un botarate rancio al que sólo votan las emporradas</t>
  </si>
  <si>
    <t>Si es q os pillan en todas @ahorapodemos @pnique @Pablo_Iglesias_ @agarzon RT @HispaniaFortius: Gracias a @LaLupaJudicial por descubrir un burdo foto-montaje de la "ultra izquierda" Por lo menos sabemos que saben sumar 1+2=3 @Santi_ABASCAL @vox_es #Vox</t>
  </si>
  <si>
    <t>http://dlvr.it/Qt7k24</t>
  </si>
  <si>
    <t>https://pbs.twimg.com/media/Dt5XuBAU8AEq2me.jpg</t>
  </si>
  <si>
    <t>https://twitter.com/HispaniaFortius/status/1071137047799365645</t>
  </si>
  <si>
    <t>https://pbs.twimg.com/media/Dt1xLvbXQAABU0C.jpg</t>
  </si>
  <si>
    <t>Jaime de Berenguer</t>
  </si>
  <si>
    <t>Los jóvenes que critican la Constitución española haciendo seguidismo del odiador @Pablo_Iglesias_ son sencillamente analfabetos políticos. No saben lo que se traen entre manos. La educación, otra de las cosas que habrá que afrontar sin complejos.</t>
  </si>
  <si>
    <t>Digo lo que pienso, a veces me equivoco. “Hay que apartar de nosotros el mal gusto de querer coincidir con muchos” Nietzsche.Liberal. Concejal de Madrid 2011-15</t>
  </si>
  <si>
    <t>🇪🇸 Jos_man 🇪🇸</t>
  </si>
  <si>
    <t>Tomás 🐶🤔</t>
  </si>
  <si>
    <t>Las miserias del macho alfa uyyysss perdón @Pablo_Iglesias_ 😂😂😂😂😂👇👇👇👇👇👇👇 RT @YolandaTabarnia: Hay que RT esto..... Maldita hemeroteca Pablitin..... @GuajeSalvaje @PandaHG18 @numer344 @ElAguijon_</t>
  </si>
  <si>
    <t>Un Español, orgulloso de serlo, al que no le gusta el socialismo de ningún tipo 🇪🇸</t>
  </si>
  <si>
    <t>https://twitter.com/YolandaTabarnia/status/1071068718455754763</t>
  </si>
  <si>
    <t>pic.twitter.com/0NuPJ0PknK</t>
  </si>
  <si>
    <t>Ciudadano Universal</t>
  </si>
  <si>
    <t>Lamentable y asquerosidades este diario con su respuesta @publico_es otro diario al que boicotearemos sin duda ... Carta al tipo que mandó una carta a Pablo Iglesias - Público</t>
  </si>
  <si>
    <t>Oviedo, España</t>
  </si>
  <si>
    <t>Errar es humano....Pero echarle la culpa a otro, es más humano todavia...🙄🤔</t>
  </si>
  <si>
    <t>No tengo apego por ninguna ideología fija , y menos aún por ningún extremismo radical. Me dan asco LOS CORRUPTOS , PEDOFILOS, y MANIPULADORES de almas débiles.</t>
  </si>
  <si>
    <t>alfonso freire</t>
  </si>
  <si>
    <t>Interesante texto @crpandemonium CIERTAMENTE después de haber oído a @Pablo_Iglesias_ @gabrielrufian @agarzon &amp;cía, que cobran UN BUEN SUELDO amparados por la Constitución, le tiemblan a uno las piernas al "abstraerse" y verlos sentados en un Parlamento.</t>
  </si>
  <si>
    <t>https://www.elespanol.com/opinion/columnas/20181207/constitucion-quiere-podemos/358844117_13.html</t>
  </si>
  <si>
    <t>Angel C. de Rivas</t>
  </si>
  <si>
    <t>ME ADHIERO A ESTA RESPUESTA A UNA CARTA QUE ME PROVOCÓ ENOJO A LA VEZ QUE DESCONCIERTO</t>
  </si>
  <si>
    <t>Tres Cantos, España</t>
  </si>
  <si>
    <t>Lord Pablo</t>
  </si>
  <si>
    <t>Aprendiz de economía, amigo de la filosofía y.... algo de TODO y mucho de NADA. Pero..... resisto.</t>
  </si>
  <si>
    <t>Me he pasado veinte minutos mirando como una mosca se frotaba las patas ... ME PARECE INCREÍBLE CON QUE TONTERÍAS SE ENTRETIENEN LAS MOSCAS</t>
  </si>
  <si>
    <t>http://elrincndedonnadie.blogspot.com</t>
  </si>
  <si>
    <t>😂😂😂😂😂😂😂😂😂😂😂Ni panadero,ni lechero,ni la del quinto...pronto lo has olvidado.CASTA.@Pablo_Iglesias_</t>
  </si>
  <si>
    <t>Soy esa voz que sale de tu interior, si. Me llaman sentido común.</t>
  </si>
  <si>
    <t>pic.twitter.com/INCycOECXB</t>
  </si>
  <si>
    <t>http://ramblalibre.com/2018/12/08/carta-a-pablo-iglesias-eres-un-botarate-rancio-al-que-solo-votan-las-emporradas/#.XAvAvnrUbRg.twitter</t>
  </si>
  <si>
    <t>M. Angeles Sastre Bl</t>
  </si>
  <si>
    <t>No os ha pasado alguna vez q responde un tweet de @Pablo_Iglesias_ y una horda podemita te ataca con descalificaciones e indultos sin tú perder el respeto en ningún momento?. Claro reflejo de nerviosismo.</t>
  </si>
  <si>
    <t>SomosLegion</t>
  </si>
  <si>
    <t>En Nuestra Plaza: 90.000 millones. De dinero público. Casi 60 veces el presupuesto completo de la Comunidad Autónoma de La Rioja para 2018. Pensad en todos los colegios que se podrían construir, en lo que se podrían subir las pensiones,...[Pablo Iglesias]</t>
  </si>
  <si>
    <t>Un día de estos voy a hacer lo q me de la gana y va a ser un desastre genial!</t>
  </si>
  <si>
    <t>https://ift.tt/2E8iJVR</t>
  </si>
  <si>
    <t>Manuel Gálvez</t>
  </si>
  <si>
    <t>El mensaje de @Pablo_Iglesias_ contra @vox_es es constituyente de delito? Pregunto. Yo no lo sé.</t>
  </si>
  <si>
    <t>Yo tampoco le voto a Pablo Iglesias !!! Quien más no le votaría ? RT @elmundoes: Bertín Osborne: "A Pablo Iglesias no le voto ni muerto, ni harto de vino"</t>
  </si>
  <si>
    <t>VINCERE NON È IMPORTANTE, È L'UNICA COSA CHE CONTA</t>
  </si>
  <si>
    <t>https://twitter.com/elmundoes/status/1071266303028195328
https://trib.al/jZ2VQ3T</t>
  </si>
  <si>
    <t>|KRISSTIAN|</t>
  </si>
  <si>
    <t>Fíjate lo que le ha importado vuestra opinión de Vox a la gente @Pablo_Iglesias_ 😂😂😂 RT @opiniondemalaga: La web de afiliación de @vox_es, colapsada.</t>
  </si>
  <si>
    <t>https://twitter.com/opiniondemalaga/status/1071145793506152453
https://goo.gl/kY5hMD</t>
  </si>
  <si>
    <t>https://pbs.twimg.com/media/Dt15Z8VX4AAGgBN.jpg</t>
  </si>
  <si>
    <t>eugenio gisbert</t>
  </si>
  <si>
    <t>Este efecto no deseado por mi, es el resultado de lo que está haciendo en España Pablo Iglesias y toda la gentuza mediática que le jalea, escondiendo sus vergüenzas y sus atrocidades. RT @Santi_ABASCAL: Avalancha de afiliaciones a VOX.</t>
  </si>
  <si>
    <t>Granada, España</t>
  </si>
  <si>
    <t>https://twitter.com/santi_abascal/status/1071158834083848193
http://www.expansion.com/economia/politica/2018/12/07/5c0a9132ca4741ab368b4604.html</t>
  </si>
  <si>
    <t>23 | Amante del cine, el fútbol y la fotografía 🎬⚽📷/ Libertad y esfuerzo 💪 /RRLL y RRHH en la UGR 📚 | 🇪🇸</t>
  </si>
  <si>
    <t>°EL ABUELO °</t>
  </si>
  <si>
    <t>Quemar 🔥 🔥 contenedores está son vuestras formas y que no se os vea la cara,,, esto quien lo paga señorito @Pablo_Iglesias_</t>
  </si>
  <si>
    <t>pic.twitter.com/pf7dPZYedY</t>
  </si>
  <si>
    <t>Tratalos como reyes y como reyes te humillaran, Tratalos como perros y como perros te seguirán.</t>
  </si>
  <si>
    <t>AREANATURE</t>
  </si>
  <si>
    <t>toma nota @Pablo_Iglesias_ RT @Nanchinho: Fascista no es quien consigue diputados en unas elecciones democráticas, lo es quien utiliza la violencia para lograrlo o para impedírselo a los demás.</t>
  </si>
  <si>
    <t>Cosimiranda</t>
  </si>
  <si>
    <t>http://chng.it/Fh9Jqmkt</t>
  </si>
  <si>
    <t>Y es que la naturaleza no hace nada en vano, y entre los animales, el hombre es el único que posee la palabra. Pero ser natural es una pose demasiado difícil.</t>
  </si>
  <si>
    <t>Venezolana y demócrata 100% Amante de la Libertad y de todos los Animalitos y a mis ángeles 👼 Cosita y Pimienta que siempre extrañaré.</t>
  </si>
  <si>
    <t>Texto @basteiro Opino q TODO juega en contra de @sanchezcastejon : 1) Radicalización INDEpendentista 2) Radicalización d @Pablo_Iglesias_ 3) Descrédito en Andalucía 4) Desaceleración económica en aumento 5) Temor del votante a la ruptura del Estado.</t>
  </si>
  <si>
    <t>Rafael Cotilla Ariza</t>
  </si>
  <si>
    <t>Habria que abrir expediente a esos que amenazan e insultan a los que votamos libremente , a esos Quin Torra , a esos golpistas , y a Pablo Iglesias por fomentar el odio entre españoles ... Pero no , a los q van a expedientar es a los mosos por defender un acto de VOX. Tela ...</t>
  </si>
  <si>
    <t>https://www.elespanol.com/espana/20181207/moncloa-lanza-operacion-ave-fenix-legislatura-presupuestos/358964129_0.html</t>
  </si>
  <si>
    <t>españa</t>
  </si>
  <si>
    <t>LIBREPENSDOR. MASCULINISTA. ODIO LA ESTUPIDEZ DE IZQUIERDA Y DERECHA. TONTERIAS LAS JUSTAS. MI PALABRA ES SAGRADA. HASTA LOS COJONES DE BUENISTAS Y FLSOS PROFTS</t>
  </si>
  <si>
    <t>Pitágora de Samos</t>
  </si>
  <si>
    <t>Escapadas</t>
  </si>
  <si>
    <t>Seguir así @Pablo_Iglesias_ que igual incluso terminarás en la cárcel. No te preocupes que allí la seguridad es parecida a la de tu casa... RT @Miotroyo2parte: -Tenemos una baja entre las filas republicanas antifascistas anticapitalistas antimonárquicas antitaurinas anticatólicas. Una horda de votantes de @vox_es nos han atacado con fusiles, no hemos podido hacer nada. -Tranquilo, que hemos conseguido el vídeo de la agresión:</t>
  </si>
  <si>
    <t>https://twitter.com/Miotroyo2parte/status/1070985477539409921</t>
  </si>
  <si>
    <t>pic.twitter.com/vx7cjx3OXP</t>
  </si>
  <si>
    <t>Escapadas para gente sin tiempo</t>
  </si>
  <si>
    <t>Pitágoras de Samos fue matemático, filósofo. El teorema de Pitágoras, llamado así por Euclides, ya era conocido con mucha anterioridad a Pitágoras.</t>
  </si>
  <si>
    <t>Texto @Maria_peral Yo creo q @sanchezcastejon ASUME mucho riesgo NO TOMANDO medidas al respecto. No creo q @QuimTorraiPla las vaya a tomar ni tampoco "escucho" críticas a estas actuaciones en el grupo de @Pablo_Iglesias_ .La DESESTABILIZACIÓN les beneficia</t>
  </si>
  <si>
    <t>Antonio Ruiz</t>
  </si>
  <si>
    <t>Me ha gustado un vídeo de @YouTube ( - "Pablo Iglesias es responsable del clima violento contra VOX" Santiago</t>
  </si>
  <si>
    <t>https://www.elespanol.com/espana/tribunales/20181207/cgpj-impunidad-ataques-cataluna-proteccion-marlaska-buch/358964968_0.html</t>
  </si>
  <si>
    <t>http://youtu.be/UVtmdL-8zXw?a</t>
  </si>
  <si>
    <t>Admito opiniones contrarias a las mías, pero AVISO bloqueo a los que intentan insultar y a los que trolean.</t>
  </si>
  <si>
    <t>Podemita reflexivo</t>
  </si>
  <si>
    <t>Podemos leader Pablo Iglesias buys Madrid country house for €600,000 - EL PAÍS in English</t>
  </si>
  <si>
    <t>http://dlvr.it/Qt7hTG</t>
  </si>
  <si>
    <t>https://pbs.twimg.com/media/Dt5U9zRV4AAdrbw.jpg</t>
  </si>
  <si>
    <t>Dabliu</t>
  </si>
  <si>
    <t>BIEN!!! Es un político no democrata. No vale un duro. Es de los que piensan que debemos hacer lo que el diga menos él, que va por libre. Ahí está el caserón.........Bertín Osborne: "A Pablo Iglesias no le voto ni muerto, ni harto de vino"  vía @elmundoes</t>
  </si>
  <si>
    <t>Julia Fernandez</t>
  </si>
  <si>
    <t>El Rey llamó a Pablo Iglesias para preocuparse por sus hijos y así se lo ha ‘agradecido’ Iglesias  vía @ElentirVigo</t>
  </si>
  <si>
    <t>Roman Ferro Rojo</t>
  </si>
  <si>
    <t>Vamos a ver .@Pablo_Iglesias_ cuéntanos en q beneficiaría al español de a pie eso? RT @Pablo_Iglesias_: “Una mayoría de españoles preferiría que España fuese una república y desea, además, que se celebre un referéndum para decidirlo. Eso es lo que se desprende de la última encuesta que YouGov ha elaborado en exclusiva para El HuffPost” 👇🏼</t>
  </si>
  <si>
    <t>Doctora en Fisica Nuclear Universidad Louis Pasteur ( Strasbourg) Consultora de INCYDE Consultora Lean Management e Innovación ( Lean Canvas)</t>
  </si>
  <si>
    <t>https://twitter.com/pablo_iglesias_/status/1071105155255451649
https://www.huffingtonpost.es/2018/12/05/el-48-de-los-espanoles-prefiere-que-espana-sea-una-republica_a_23609576/</t>
  </si>
  <si>
    <t>Sonia GIménez Guzmán</t>
  </si>
  <si>
    <t>Terrassa</t>
  </si>
  <si>
    <t>Lectora compulsiva, amb passió pel cine i la vida. Imprescindible la calma, el pensament crític,el sentit de l'humor, l'amor i l'amistat.</t>
  </si>
  <si>
    <t>http://soniagigu.blogspot.com</t>
  </si>
  <si>
    <t>Economista, Empresario, Radiodifusor, Presidente de la Cámara de Comercio de Monagas</t>
  </si>
  <si>
    <t>"The Royal Sniper"</t>
  </si>
  <si>
    <t>Estas hablando de @Pablo_Iglesias_ 🤣🤣🤣🤣🤣 RT @perezreverte: "Frente a una multitud analfabeta o con escasa cultura, un tirano, pero también un revolucionario, pueden lograr resultados sorprendentes. Se encuentran ante una masa homogénea que se dejará mover con sólo una palanca". (Ernst Jünger)</t>
  </si>
  <si>
    <t>Alfonso Rojo López</t>
  </si>
  <si>
    <t>https://twitter.com/perezreverte/status/1071045025642020869</t>
  </si>
  <si>
    <t>http://www.periodistadigital.com/opinion/cartas-al-director/2018/12/08/carta-abierta-de-santiago-abascal-a-pablo-iglesias-lo-tienes-crudo.shtml</t>
  </si>
  <si>
    <t>Productor Ejecutivo de la serie INVESTIGACIÓN AL LIMITE , "El día que pude asesinar al Rey" , "Los últimos días del Rey" - Guionista -Escritor. 🇪🇸</t>
  </si>
  <si>
    <t>https://afectadosatresmedia.blogspot.com.es</t>
  </si>
  <si>
    <t>RumboPropio 🆘 1⃣5⃣5⃣</t>
  </si>
  <si>
    <t>Director de Periodista Digital. Cuenta Oficial</t>
  </si>
  <si>
    <t>http://www.periodistadigital.com</t>
  </si>
  <si>
    <t>Desconfia</t>
  </si>
  <si>
    <t>Mira , @Pablo_Iglesias_ @agarzon . Han desactivado tu alerta antifascista , para homenajear a la Constitución en su 40 aniversario. Traje, corbata y bandera de España. 🇪🇸🤭</t>
  </si>
  <si>
    <t>maricarmen lorenzo fernandez</t>
  </si>
  <si>
    <t>Patrocinar Ministerio de Justicia: Pena de prisión de 1 a 4 años para Pablo Iglesias por delito de Odio</t>
  </si>
  <si>
    <t>https://pbs.twimg.com/media/Dt2DyslXQAshVOx.jpg</t>
  </si>
  <si>
    <t>https://www.change.org/p/ministerio-de-justicia-pena-de-prisi%C3%B3n-de-1-a-4-a%C3%B1os-para-pablo-iglesias-por-delito-de-odio/psf/promote_or_share</t>
  </si>
  <si>
    <t>🇪🇸 💚</t>
  </si>
  <si>
    <t>Antes del 1 Oct. 2017 sin Twitter. Después 4ªG frente a la hispanofobia y contra el separatismo. Mis hilos están recopilados en el blog 👇 ▶ @rumbopropio2</t>
  </si>
  <si>
    <t>https://rumbored.blogspot.com.es/</t>
  </si>
  <si>
    <t>MagdaPao</t>
  </si>
  <si>
    <t>Enmienda a la totalidad por Ignacio Camacho. El antisistema ⁦@Pablo_Iglesias_⁩</t>
  </si>
  <si>
    <t>https://www.abc.es/opinion/abci-enmienda-totalidad-201812070052_noticia.html</t>
  </si>
  <si>
    <t>Transición y Constitución como referentes. ESPAÑA.</t>
  </si>
  <si>
    <t>Fernando Rodriguez</t>
  </si>
  <si>
    <t>Muy bien @Pablo_Iglesias_ , vamos a tener en cuenta tu reflexión.. RT @rouco64: 🔴🔴 El derecho a portar armas es una de las bases de la democracia. DIXIT Pablo Iglesias🔻🔻</t>
  </si>
  <si>
    <t>https://twitter.com/rouco64/status/1071032276908150784</t>
  </si>
  <si>
    <t>pic.twitter.com/JNOIm4oxA8</t>
  </si>
  <si>
    <t>Donde aterrice mi platillo....</t>
  </si>
  <si>
    <t>Ingeniero, buscador eterno de algo, y...lector empedernido de novela negra e histórica.</t>
  </si>
  <si>
    <t>𝒪𝓈𝒸𝒶𝓇 </t>
  </si>
  <si>
    <t>Ahí tenéis,nunca os han definido mejor ⁦@gabrielrufian⁩ ⁦@Pablo_Iglesias_⁩</t>
  </si>
  <si>
    <t>https://m.huffingtonpost.es/amp/2018/12/07/el-dardo-de-bertin-osborne-a-gabriel-rufian-y-pablo-iglesias-espana-es-el-pais-con-mas-politicos-idiotas-por-metro-cuadrado_a_23611885/</t>
  </si>
  <si>
    <t>¿Cuál será la aportación de Pablo Iglesias?  Así le gustaría al líder de Podemos ser recordado dentro de 40 años</t>
  </si>
  <si>
    <t>Porque uno es más auténtico cuanto más se acerca a lo que ha soñado ser.</t>
  </si>
  <si>
    <t>Enrique</t>
  </si>
  <si>
    <t>Hombre a lo mejor @Pablo_Iglesias_ se entera por fin que hay que centrar el discurso en cosas concretas. 1° Privatización de las electricas. No puede ser que tengamos empresas que se van por que en otros paises se ahorran al año 1000 millones en la factura de la luz. RT @Pablo_Iglesias_: “Quizá la izquierda necesita dejar de lado la épica para enamorarse de lo efectivo. Aceptar que no se acerca uno a la urna para cambiar el mundo, sino para que no le cierren el ambulatorio del barrio” Interesante este artículo de @gerardotc 👇🏼</t>
  </si>
  <si>
    <t>Jardinero del Árbol de la Vida</t>
  </si>
  <si>
    <t>Deben darse una vuelta por Vnzl algunos cabecillas del colectivo español, por ejemplo @ierrejon @Pablo_Iglesias_ @MonederoJC @pnique #ZapateroHDLGP @sanchezcastejon (adecuadamente patrocinados por la tiranía del @PartidoPSUV) y maquillar las huellas q deja el #SocialismoEnAccion RT @ElPortuMau: Cuando una imagen vale más q´mil palabras #HechoEnSocialismo #Sucialismo #Socialism #SocialismKills @esousa14 @lergpv @yatemo @67tdgjorge @DulceMTostaR @sergiguzman @henryvaccaris @Pura_Miel @VeneSysAlpha @milivallad @YingYang_Vzla @malede7 @el9verdugo @alberto_rrp @yajadiaz7</t>
  </si>
  <si>
    <t>https://twitter.com/elportumau/status/1071107036019113986</t>
  </si>
  <si>
    <t>https://pbs.twimg.com/media/Dt1WEQ5W4AY9kWP.jpg</t>
  </si>
  <si>
    <t>En el sendero de mi vida</t>
  </si>
  <si>
    <t>Espíritu y Alma encarnados en un cuerpo único Ser que susurra palabras de vida a infantes de la Nueva Raza que brota tras el paso del ejército exterminador rojo</t>
  </si>
  <si>
    <t>jose  luis  suarez</t>
  </si>
  <si>
    <t>Qué poquito te queda para entrar en la cárcel por "DELITO DE ODIO", Coletas @Pablo_Iglesias_ Qué poquito... Ya debisteis entrar en la cárcel tras el asesinato de Victor Láinez a manos de vuestro ANTIFASCISTA Rodrigo Lanzas... TIC, TAC, TIC, TAC...</t>
  </si>
  <si>
    <t>https://youtu.be/hfl0pyi1fdM</t>
  </si>
  <si>
    <t>Si se puede ......cambiar este país</t>
  </si>
  <si>
    <t>LIBERTAD!!!Vzla</t>
  </si>
  <si>
    <t>Mar García Puig #LeyIgualdadLGTBI</t>
  </si>
  <si>
    <t>http://chng.it/Z2FLLKbc</t>
  </si>
  <si>
    <t>He avalado a @Pablo_Iglesias_ en las primarias de Podemos a cabeza de lista al Congreso de los Diputados. Tú también puedes hacerlo aquí:</t>
  </si>
  <si>
    <t>https://participa.podemos.info/avales-candidaturas-congreso-diputados</t>
  </si>
  <si>
    <t>Ama de casa, rebelde,con grandes deseos de ver a mi pais unido y con grandes proyectos.AMO A MI PAÍS Y AL TUYO! #SoyVenezuela</t>
  </si>
  <si>
    <t>Lingüista, editora i diputada d'En Comú Podem «¿Com podem concebre una lluita revolucionària que no impliqui una revolució en el discurs?», Julia Kristeva.</t>
  </si>
  <si>
    <t>LLamar a sus amigos etarras para que vayan a por Vox puede salirle caro.</t>
  </si>
  <si>
    <t>NoPueden. No</t>
  </si>
  <si>
    <t>Al macho alfa de @ahorapodemos se le puede llamar ya PABLENIN o aún no...??? Todos los medios de comunicación deberían estar sacando esto las 24 horas y sacando las meras coincidencias con lo que hacen @Pablo_Iglesias_ y sus piaras...</t>
  </si>
  <si>
    <t>https://pbs.twimg.com/media/Dt160ywW4AAOK2w.jpg</t>
  </si>
  <si>
    <t>Si la estupidez humana se pudiera convertir en pan, se acabaría el hambre en el mundo</t>
  </si>
  <si>
    <t>PEPE ROMERO</t>
  </si>
  <si>
    <t>Vamos a ver si así lo entendéis mejor @pnique @MonederoJC @Pablo_Iglesias_ @ierrejon @Irene_Montero_ @agarzon 👇👇👇👇👇👇👇👇👇👇</t>
  </si>
  <si>
    <t>https://pbs.twimg.com/media/Dt15c3BWkAA4dF7.jpg</t>
  </si>
  <si>
    <t>Pilar</t>
  </si>
  <si>
    <t>La incitación al odio de Pablo Iglesias contra VOX deja sus primeras víctimas: Dos afiliados son agredidos en Murcia</t>
  </si>
  <si>
    <t>Malaga España</t>
  </si>
  <si>
    <t>https://casoaislado.com/la-incitacion-al-odio-contra-vox-de-pablo-iglesias-deja-sus-primeras-victimas-dos-afiliados-son-agredidos-en-murcia/</t>
  </si>
  <si>
    <t>Todo el mundo se aparta ante un hombre que sabe dónde va. Voto #PP #NoALaMerma , Cristiano y convencido que solo con trabajo e ilusión se alcanzan las metas.</t>
  </si>
  <si>
    <t xml:space="preserve">Comunidad Valenciana. </t>
  </si>
  <si>
    <t>Pensar es el trabajo más difícil que existe. Tal vez por eso hay pocas personas que lo practican .</t>
  </si>
  <si>
    <t>Nika</t>
  </si>
  <si>
    <t>El que es amigo de etarras, cómo @Pablo_Iglesias_ sólo sabe acosar y atacar, enviar a sus deshechos humanos a continuar lo que ETA en su día no logró...amedrentar a la famila Abascal. Lo pagarán en las urnas que tanto odian y espero que la justicia le encarcele como merece RT @Santi_ABASCAL: Que asco ver a Pablo Mezquitas, desde su mansión de nuevo rico, azuzando el odio y la violencia callejera. Es tan miserable como sus adorados tiranos chavistas, pero aún más cobarde. Y qué repugnante ver a millonarios mediáticos azuzando la violencia política q nunca han padecido</t>
  </si>
  <si>
    <t>Pablo Iglesias</t>
  </si>
  <si>
    <t>90.000 millones. De dinero público. Casi 60 veces el presupuesto completo de la Comunidad Autónoma de La Rioja en 2018. Pensad en todos los colegios que se podrían construir, en lo que se podrían subir las pensiones,...</t>
  </si>
  <si>
    <t>https://twitter.com/Santi_ABASCAL/status/1069722798074068992</t>
  </si>
  <si>
    <t>pic.twitter.com/j1UqiWR0Lk</t>
  </si>
  <si>
    <t>https://www.nuevatribuna.es/articulo/economia/verdes-europeos-cuantifican-coste-corrupcion-espana-90000-millones-dinero-publico/20181207173008158212.html</t>
  </si>
  <si>
    <t>💚💚💚💚</t>
  </si>
  <si>
    <t>Padre. Secretario Gral. de @ahorapodemos y diputado en el Congreso. Profesor honorífico de la UCM. Nadie duda de que este país ya ha cambiado. ¡Sí se puede!</t>
  </si>
  <si>
    <t>http://podemos.info</t>
  </si>
  <si>
    <t>Juan</t>
  </si>
  <si>
    <t>Na, de esto @pnique el macho alfa uyyysss perdón @Pablo_Iglesias_ El fake tesis @sanchezcastejon Y toda la caterva comunista feminista y perroflautas, NA DE NA 😡😡😡😡😡</t>
  </si>
  <si>
    <t>https://www.mediterraneodigital.com/sucesos-espana/ultimas-noticias-sucesos-espana/se2/vecinos-de-tenerife-evitan-que-un-marroqui-viole-a-una-chica-espanola.html</t>
  </si>
  <si>
    <t>Al igual que nos roban por ley, nos han hecho politicos a la fuerza.</t>
  </si>
  <si>
    <t>Otravuelta🙂 Pablo Iglesias SIN "pelos en la lengua"😉 Abascal y VOX no son ningún nuevo movimiento, son la corriente franquista del PP. Abascal es EL ENCHUFADO de ESPERANZA AGUIRRE. Lleva chupando del bote décadas.</t>
  </si>
  <si>
    <t>https://www.facebook.com/victoriandres/videos/10218309933485499/</t>
  </si>
  <si>
    <t>Clint_is_good</t>
  </si>
  <si>
    <t>Santander, Cantabria</t>
  </si>
  <si>
    <t>Eres un payaso @Pablo_Iglesias_ lo que dices no tiene base alguna. Esa mayoría es una MINORÍA universitaria manipula y sesgada a más no poder! Anda ves a tomar por culo un rato anda ... RT @Pablo_Iglesias_: “Una mayoría de españoles preferiría que España fuese una república y desea, además, que se celebre un referéndum para decidirlo. Eso es lo que se desprende de la última encuesta que YouGov ha elaborado en exclusiva para El HuffPost” 👇🏼</t>
  </si>
  <si>
    <t>Tocar las narices es un arte.</t>
  </si>
  <si>
    <t>Ya @Pablo_Iglesias_ no engaña a Nadir y le duele ver como pierde la calle. Es de lo peor. RT @infiltradoxxx: Cuando el Rey supo del problema de los hijos de los Iglesias-Montero les llamo para preocuparse por su estado, hoy Pablo Iglesias le ha negado el saludo, poco más que añadir.</t>
  </si>
  <si>
    <t>ANTI PODEMOS a tope</t>
  </si>
  <si>
    <t>Cristobal Gil Quiros</t>
  </si>
  <si>
    <t>euroescoba</t>
  </si>
  <si>
    <t>Hipócrita 👏🏻👏🏻 @Pablo_Iglesias_ RT @Ivan_Pietri: Excelente artículo... #RT</t>
  </si>
  <si>
    <t>Jerez de la Frontera, España</t>
  </si>
  <si>
    <t>https://twitter.com/ivan_pietri/status/1041974468187439105
https://cards.twitter.com/cards/18ce540b45z/67u6s</t>
  </si>
  <si>
    <t>Alcanzada la edad adulta aspiro a ser observador activo y critico con lo que me rodea, lo hermoso conservarlo -transmitirlo,lo injusto sin prepotencia cambiarlo</t>
  </si>
  <si>
    <t>Madrid-España</t>
  </si>
  <si>
    <t>Koke Cabrera 🎨🕺🏋️💪😎🤜</t>
  </si>
  <si>
    <t>Puede que lo diga de broma, de mal gusto por cierto, pero ésto es lo que alimenta @Pablo_Iglesias_ con sus declaraciones. Ésto es lo que busca @ahorapodemos . Imponer la III República por la violencia. El socio del presidente. #LaSilenciosaCat #SinComplejos #SomosEspañoles</t>
  </si>
  <si>
    <t>pic.twitter.com/5ysIQwy9vl</t>
  </si>
  <si>
    <t>De paso por el mundo. Observo, analizo, y hago crítica objetiva de la vida. No apto para mentes obtusas. Cómo todos, tengo mi lado oscuro.😎 #LaSilenciosaCat 📢</t>
  </si>
  <si>
    <t>ESTADO FALLIDO</t>
  </si>
  <si>
    <t>Pablo Iglesias: 'Me da vergüenza como español que la extrema derecha esté en las instituciones' y no te da verguenza apoyar el separatismo Catalan?</t>
  </si>
  <si>
    <t>Fernando Cantalapiedra</t>
  </si>
  <si>
    <t>De los creadores de portavoces y portavozas, ahora viene cambiar "matar dos pájaros de un tiro " por "alimentar a dos pájaros con un panecillo " Deben ser los problemas que se observan desde la piscina de Galapagar de @Irene_Montero_ @Pablo_Iglesias_</t>
  </si>
  <si>
    <t>3a edad, 6 hijos, gerente OIV, retirado por monopolio del gobierno, democrata, 100%</t>
  </si>
  <si>
    <t>Marxista Grouchista</t>
  </si>
  <si>
    <t>Hablando de fascismo y de Andalucía, aquí va la carta de @jordi_serrano en @publico_es desmantelando las tonterías de cierto médico fascista malagueño:</t>
  </si>
  <si>
    <t>https://pbs.twimg.com/media/Dt12s4IWoAEVKBt.jpg</t>
  </si>
  <si>
    <t>Abogado,Madrid me vio nacer pero soy asturiano de corazón.Siempre dispuesto a una buena charla con una cerveza</t>
  </si>
  <si>
    <t>No hay más dios que Marx y Groucho es su profeta.</t>
  </si>
  <si>
    <t>Andrés</t>
  </si>
  <si>
    <t>Lo mejor de los resultados electorales en Andalucía es que ya nadie duda de que Pablo Iglesias es un aspirante a dictador de república bananera. #FelizSábado</t>
  </si>
  <si>
    <t>Fran Borja</t>
  </si>
  <si>
    <t>Sr. D. @perezreverte, hablemos claro y sin tapujos, nos referimos a las multitudes d los indepes y comunistas, y de los tiranos Torras y @Pablo_Iglesias_ y sus amiguetes indepes, podemitas y terroristas RT @perezreverte: "Frente a una multitud analfabeta o con escasa cultura, un tirano, pero también un revolucionario, pueden lograr resultados sorprendentes. Se encuentran ante una masa homogénea que se dejará mover con sólo una palanca". (Ernst Jünger)</t>
  </si>
  <si>
    <t>Pragmático, cansino, valencianista, melómano, fistro...</t>
  </si>
  <si>
    <t>Comunidad Valenciana, España</t>
  </si>
  <si>
    <t>Asesores Jurídicos Bur., S. A." / Español y valenciano / Cofrade de Nuestro "Santísimo Cristo" / Uno de los muchos pecados de la humanidad "La ignorancia"</t>
  </si>
  <si>
    <t>psiquiatra</t>
  </si>
  <si>
    <t>Los de las sonrisas y la paz y tal y tal @bbcmundo @sanchezcastejon @CelaaIsabel @Pablo_Iglesias_ @policia @guardiacivil RT @FatherTornices: .@interiorgob @DeleGobCataluna Vais a dejar que el xenófobo @QuimTorraiPla realice la purga de @mossos que tiene que velar por la seguridad de todos los catalanes de los radicales de @cup_parlament @Arran_jovent? Si no intervenís nos mataremos. @UMCmossos</t>
  </si>
  <si>
    <t>https://twitter.com/FatherTornices/status/1071138196086579200</t>
  </si>
  <si>
    <t>https://pbs.twimg.com/media/Dt1yfcZXcAACawL.jpg</t>
  </si>
  <si>
    <t>Creo que soy facha y creen que soy psiquiatra. Y luego se ofenden si los llamo lerdos.</t>
  </si>
  <si>
    <t>María Pilar Cano Teja es licenciada en Filología Clásica y profesora de Música de Enseñanza Secundaria, escribe poesía, novela y libros de autoayuda.</t>
  </si>
  <si>
    <t>Flavio</t>
  </si>
  <si>
    <t>Ahora sabemos qué significaba esto: “La representación política no implica ningún compromiso. Tu parlamento es un parlamento burgués de mierda que representa los intereses de clases”. @Pablo_Iglesias_</t>
  </si>
  <si>
    <t>LucianoK</t>
  </si>
  <si>
    <t>pic.twitter.com/ijhnfrp4oQ</t>
  </si>
  <si>
    <t>TRIANA. SEVILLA. ESPAñA.</t>
  </si>
  <si>
    <t>Pensionista contra mi voluntad, y sobre todo ESPAÑOL. Si me sigues muy bien, si no me sigues no te digo. VIVA ESPAÑA.</t>
  </si>
  <si>
    <t>Antonio Diaz Thable</t>
  </si>
  <si>
    <t>de Público, ni agua !</t>
  </si>
  <si>
    <t>Dolors63 ||*|| #LaCrida🎗️🎗️🎗️🎗️🎗️🎗️🎗️🎗️🎗️</t>
  </si>
  <si>
    <t>La pacífica Transición segun la sagrada Constitución española👇 @sanchezcastejon @abalosmeco @Pablo_Iglesias_ @agarzon @altamiranoMLG @BeatrizTalegon @redCat_91 @_anapastor_ @DebatAlRojoVivo @GobiernoEs</t>
  </si>
  <si>
    <t>https://youtu.be/7rcT6oODQOE</t>
  </si>
  <si>
    <t>Catalunya</t>
  </si>
  <si>
    <t>Independència per Catalunya, justícia social, història, drets civils....</t>
  </si>
  <si>
    <t>Camas Cofrade</t>
  </si>
  <si>
    <t>[#InmaculadaConcepción] 📍Llega a la Plaza Pablo Iglesias antes de hacer entrada en la céntrica Plaza de la Cruz #TDSCofrade #PasiónXCamas💜 @HdadHumillación @AgrupacionVR</t>
  </si>
  <si>
    <t>Juan 💙</t>
  </si>
  <si>
    <t>Ya están las consecuencias de la llamada a la violencia por parte de @Pablo_Iglesias_ dos afiliados a @vox_es agredidos cuando estaban trabajando en su sede, estos son los democráticos RT @Miotroyo2parte: Dos afiliados de @vox_es han sido agredidos en Lorca (Murcia), cuando se encontraban trabajando en la sede de su partido. Imagino que estarás contento, @Pablo_Iglesias_, ya estás consiguiendo lo que querías.</t>
  </si>
  <si>
    <t>https://pbs.twimg.com/media/Dt5O-8EXgAAoxyb.jpg</t>
  </si>
  <si>
    <t>Camas, Sevilla</t>
  </si>
  <si>
    <t>Noticias | Vídeos | Fotografías de la #SSanta y Fiestas de #Camas y de sus Hermandades y Agrupaciones Parroquiales. #SSantaCamas18. Desde el 3 de Marzo de 2010.</t>
  </si>
  <si>
    <t>http://ssantacamas.wordpress.com/</t>
  </si>
  <si>
    <t>#ProhibidoRendirse #EquiparacionYa @jusapol @JupolNacional</t>
  </si>
  <si>
    <t>SumerioSevillano</t>
  </si>
  <si>
    <t>Una de las medidas es subir el salario mínimo que ya lo tienen en casi 1.500 euros. Aquí Pablo Iglesias lo quiere subir a 900 y no hay dinero, y lo mas grave, os quedáis en casa viendo la vida pasar. Campos Eliseos RT @aschapire: Aquí una rápida traducción al español de todos los reclamos de los chalecos amarillos.</t>
  </si>
  <si>
    <t>https://twitter.com/aschapire/status/1068881058119200769</t>
  </si>
  <si>
    <t>Jl_vlcia</t>
  </si>
  <si>
    <t>¿A qué espera este Gobierno de mierda dirigido por @sanchezcastejon para detener a estos dos indeseables @QuimTorraiPla @Pablo_Iglesias_ por incitación a la violencia ?</t>
  </si>
  <si>
    <t>https://pbs.twimg.com/media/DtFg68TXoAEbFCA.jpg</t>
  </si>
  <si>
    <t>Somos energía consciente encerrada en un cuerpo físico, cada pensamiento un pulso eléctrico. Que el electromagnetismo de tu corazón te guíe, de izquierdas.</t>
  </si>
  <si>
    <t>https://pbs.twimg.com/media/Dt1yS9ZWwAEatyt.jpg</t>
  </si>
  <si>
    <t>Valencia - España</t>
  </si>
  <si>
    <t>Contra la indigencia intelectual 💩 de nuestra actual sociedad. El volver a nuestros principios y valores, nos hará fuertes.</t>
  </si>
  <si>
    <t>𝕮𝖆𝖗𝖑𝖔𝖘 𝕵𝖎𝖒é𝖓𝖊𝖟</t>
  </si>
  <si>
    <t>Me acabo de dar cuenta de que @Pablo_Iglesias_ ya aparecía en Los Simpsons #TodoEstáEnLosSimpsons</t>
  </si>
  <si>
    <t>https://pbs.twimg.com/media/DtzyWnsX4AAc7HA.jpg</t>
  </si>
  <si>
    <t>jmdelacorte</t>
  </si>
  <si>
    <t>“La base del Poder es la violencia”. Pablo Iglesias</t>
  </si>
  <si>
    <t>Redactor http://LosOtros18.com y http://Vavel.com Subdirector Diario de Málaga. Malagueño, andaluz, futbolero, malaguista, runner, motero, piloto...</t>
  </si>
  <si>
    <t>http://www.losotros18.com/liga-bbva/malaga/</t>
  </si>
  <si>
    <t>https://okdiario.com/espana/2018/12/07/iglesias-da-razon-abascal-derecho-portar-armas-bases-democracia-3438627/amp?__twitter_impression=true</t>
  </si>
  <si>
    <t>ElLanzaPatatas 🇪🇸💚</t>
  </si>
  <si>
    <t>No+comunismo</t>
  </si>
  <si>
    <t>Muy bien @Pablo_Iglesias_, debes estar muy contento. Espero te hagan responder por todo esto. @vox_es VOX denuncia las agresiones a dos afiliados en la localidad de Lorca</t>
  </si>
  <si>
    <t>http://chng.it/QWMPmsYX</t>
  </si>
  <si>
    <t>la churuata puerto ordaz</t>
  </si>
  <si>
    <t>https://okdiario.com/espana/2018/12/07/vox-denuncia-agresiones-dos-afiliados-localidad-lorca-3440627#.XArVsdlBjWE.twitter</t>
  </si>
  <si>
    <t>Sedjem Ash 🇪🇸</t>
  </si>
  <si>
    <t>http://chng.it/sYZyvhRy</t>
  </si>
  <si>
    <t>Parco en palabras y refranero, en la medida de lo posible. Mi pseudónimo, aunque extraño, significa "el que espera la llamada".</t>
  </si>
  <si>
    <t>P B Marbe-Malaga</t>
  </si>
  <si>
    <t>Arengar a la gente a quemar la calle no puede salir gratis. A Pablo Iglesias sólo le faltó el megáfono de los Jordis, pero con el tiempo también acabará encima de un coche de la Guardia Civil. Hay que parar esto. ☑️ N5M Asonada, PARADOJAS DE LA LIBERTAD,</t>
  </si>
  <si>
    <t>Torremolinos, España</t>
  </si>
  <si>
    <t>Me gusta montar en bicicleta con mi gorrito. La vida es bonita si se es libre</t>
  </si>
  <si>
    <t>Gaila</t>
  </si>
  <si>
    <t>Un hombre con solera. Claro, como el deslío. Un VORS reposado en barricas de roble. Bertín Osborne: "A Pablo Iglesias no le voto ni muerto, ni harto de vino"  vía @elmundoes</t>
  </si>
  <si>
    <t>SoloClima</t>
  </si>
  <si>
    <t>al sur del sur</t>
  </si>
  <si>
    <t>Jefe de Máquinas de la Marina Mercante. ...Trabajé sin descanso hasta que mis hijos decidieron tomar el mando. Ahora ellos deciden ...</t>
  </si>
  <si>
    <t>http://www.frenoaltiempo.com</t>
  </si>
  <si>
    <t>A Coruña, Galicia</t>
  </si>
  <si>
    <t>Elena 🦂🦉🤖</t>
  </si>
  <si>
    <t>Pena de prisión de 1 a 4 años para Pablo Iglesias por delito de Odio - ¡Firmá la petición!  vía @ChangeorgAR</t>
  </si>
  <si>
    <t>mtr</t>
  </si>
  <si>
    <t>A ver , @Pablo_Iglesias_ , que aparte de un estómago agradecido eres tonto perdido ya lo sabe todo el mundo... ¿sabes en que país vives? ¿Sabes de donde procede parte de tu paguita con la que ya vives como los ricos? ¿Sabes quien es el Jefe de Estado? PUES UN RESPETO, ¡MALNACIDO!</t>
  </si>
  <si>
    <t>http://chng.it/xp4FLr9f</t>
  </si>
  <si>
    <t>abianmed18</t>
  </si>
  <si>
    <t>Este señor cada vez hace el ridículo con sus comentarios rancios. Y ahora la pregunta que se hacen todos señor @Pablo_Iglesias_ ¿si los españoles quieren una república, como es posible que cada vez usted pierde votantes? RT @Pablo_Iglesias_: “Una mayoría de españoles preferiría que España fuese una república y desea, además, que se celebre un referéndum para decidirlo. Eso es lo que se desprende de la última encuesta que YouGov ha elaborado en exclusiva para El HuffPost” 👇🏼</t>
  </si>
  <si>
    <t>http://ramblalibre.com/2018/12/08/carta-a-pablo-iglesias-eres-un-botarate-rancio-al-que-solo-votan-las-emporradas/#.XAu2SSz-quE.twitter</t>
  </si>
  <si>
    <t>🇪🇸Canarion-Alicantino🇮🇨 Mi mayor rival es ser yo mismo.</t>
  </si>
  <si>
    <t>✠ Cruz Templaria ✠</t>
  </si>
  <si>
    <t>Querido @Pablo_Iglesias_, te están tomando el pelo. Te pasan todas esas encuestas hechas por tus amigos y te hacen creer que la gente está con tus ideas y las de tu partido. Luego llega la hora de la votar y la realidad te despierta de un bofetón. RT @Pablo_Iglesias_: “Una mayoría de españoles preferiría que España fuese una república y desea, además, que se celebre un referéndum para decidirlo. Eso es lo que se desprende de la última encuesta que YouGov ha elaborado en exclusiva para El HuffPost” 👇🏼</t>
  </si>
  <si>
    <t>SIGILLUM MILITUM XPISTI</t>
  </si>
  <si>
    <t>DavidSabido 🇪🇸</t>
  </si>
  <si>
    <t>Hola Pablo Iglesias @ahorapodemos , qué dice @ierrejon que va a dejar en un cajón la bandera republicana y la de la hoz y el martillo. Qué será lo próximo, poner la pachanga fachosa en vuestros mítines? Se te va de las manos esto Pablo, pon orden</t>
  </si>
  <si>
    <t>joseluisg</t>
  </si>
  <si>
    <t>ALGUIEN PIENSA HACER ALGO?? @sanchezcastejon @pnique @Pablo_Iglesias_ @ierrejon @ManuelaCarmena @agarzon HACEMOS QUE SE LE OIGA? @LaFallaras @pardodevera @iescolar @JavierArocaA @radiocable @JesusCintora @jesusmarana @antonlosada Creo que me dirijo a gente decente! RT @alwaysfree86: Mi desahucio terminará de la peor de las maneras..SUICIDIO @galceran_montse @ManuelaCarmena @provivienda_org @emvsmadrid @La1_tve @antena3com @cuatro @telemadrid @telecincoes @laSextaTV @MADRID @ComunidadMadrid @JMDTetuan @Tetuan30Dias @Invisibles_T @OSTetuan</t>
  </si>
  <si>
    <t>https://twitter.com/alwaysfree86/status/1070299080906211329</t>
  </si>
  <si>
    <t>pic.twitter.com/x2YQ2k8WrQ</t>
  </si>
  <si>
    <t>Liberal Convencido. Ciudadano del mundo. Español sin complejos.</t>
  </si>
  <si>
    <t>“SEPAN USTEDES QUE MUCHO MÁS TEMPRANO QUE TARDE, DE NUEVO ABRIRAN LAS GRANDES ALAMEDAS POR DONDE PASE EL HOMBRE LIBRE PARA CONSTRUIR UNA SOCIEDAD MEJOR” ALLENDE</t>
  </si>
  <si>
    <t>GranCanariaTV</t>
  </si>
  <si>
    <t>"República feminista contra ultraderecha VOX" Pablo Iglesias #FelizSábado Campos Elíseos #InmaculadaConcepción AP-7  vía @YouTube</t>
  </si>
  <si>
    <t>https://youtu.be/h3UPSVtuGhQ</t>
  </si>
  <si>
    <t>Edad Media</t>
  </si>
  <si>
    <t>Sr @Pablo_Iglesias_ estuvo usted en la revolución rusa??</t>
  </si>
  <si>
    <t>https://pbs.twimg.com/media/Dt1vKs0X4AY8R_M.jpg</t>
  </si>
  <si>
    <t>http://www.GranCanariaTV.com nace con la intención de convertirse en un medio de comunicación donde todos pueden participar.</t>
  </si>
  <si>
    <t>http://www.GranCanariaTV.com</t>
  </si>
  <si>
    <t>Tengo únicamente una neurona activa y, últimamente, cabreada. En fin, con ella tengo que vivir.</t>
  </si>
  <si>
    <t>ElDestroyer</t>
  </si>
  <si>
    <t>“A vencer el día 19 (de noviembre) en las urnas. Y, si somos derrotados, a vencer el día 20 en las calles al grito de “¡Viva la revolución social!”. Esta cita de Indalecio Prieto justo antes de la Guerra Civil la firmaría Pablo Iglesias hoy. #Vox</t>
  </si>
  <si>
    <t>Baltasar Martinez R.</t>
  </si>
  <si>
    <t>Viendo la polémica que se ha creado con vuestro nuevo "Logo"en @ahorapodemos , os ofrezco seriamente (Baratito 😇) este humilde "Logo" que se me ha ocurrido. @Pablo_Iglesias_ @TeresaRodr_ @pnique @ierrejon 👋#Balta</t>
  </si>
  <si>
    <t>Badajoz, Spain</t>
  </si>
  <si>
    <t>El azote de lo políticamente correcto. El fin del chiringuito progre ha llegado. Se acabaron las paguitas.</t>
  </si>
  <si>
    <t>https://pbs.twimg.com/media/Dt1ufEuXcAAlaSD.jpg</t>
  </si>
  <si>
    <t>ESPAÑA</t>
  </si>
  <si>
    <t>Bienvenidos y si es con Humor mejor. Esperando ofertas para publicar mis viñetas.</t>
  </si>
  <si>
    <t>ÁngeleS  Rendó🤗🤔</t>
  </si>
  <si>
    <t>http://rbaltasar.blogspot.com.es/</t>
  </si>
  <si>
    <t>Ramon Gallego</t>
  </si>
  <si>
    <t>A la izquierda de @Pablo_Iglesias_ le iría mucho mejor, y tendría mucha más credibilidad, si en lugar de tratar cambiar un país , se ocupará de intentar cambiar la vida de las personas que es lo que quieren, lo importante, ya sea en una República o en una Monarquía</t>
  </si>
  <si>
    <t>Cuando la sonrisa sea tu única moneda de cambio,volverás a ser un ángel,con alas de libertad. ESPAÑOLA por la gracia de DIOS🇪🇸 y a quién no le guste que l</t>
  </si>
  <si>
    <t>Médico de Familia. Enamorado del GRANADA CF, de su escudo, de sus colores, de su sentimiento, de su ciudad. Sin condiciones.Y ORGULLOSO DE MI PAÍS, ESPAÑA !!</t>
  </si>
  <si>
    <t>Francesc-Marc Álvaro</t>
  </si>
  <si>
    <t>Muchas gracias, @Pablo_Iglesias_ RT @Pablo_Iglesias_: “Malgrat que la vida s’assembla cada dia més a una telesèrie de Netflix, la gent necessita consumir fantasies que, molt sovint, van més enrere del que passa de debò” Muy bueno esto de @fmarcalvaro</t>
  </si>
  <si>
    <t>https://twitter.com/pablo_iglesias_/status/1071119808723341314
https://www.lavanguardia.com/opinion/20181207/453401931298/netflix-mhas-decebut.html?utm_campaign=botones_sociales&amp;utm_source=twitter&amp;utm_medium=social</t>
  </si>
  <si>
    <t>Borjita</t>
  </si>
  <si>
    <t>Pablo Iglesias 🤔🤔🤔</t>
  </si>
  <si>
    <t>https://www.facebook.com/story.php?story_fbid=2102530733103725&amp;id=100000404576074</t>
  </si>
  <si>
    <t xml:space="preserve">Catalunya </t>
  </si>
  <si>
    <t>Escric a @LaVanguardia, @serra_dor i @naciodigital. Parlo a @rac1, @tv3cat i @8tvcat. Professor a @BlanquernaFCRI. Periodisme, política, llibres, memòries.</t>
  </si>
  <si>
    <t>http://www.francescmarcalvaro.cat</t>
  </si>
  <si>
    <t>NAVALMORAL DE LA MATA</t>
  </si>
  <si>
    <t>Alfonso Lago</t>
  </si>
  <si>
    <t>Topomares</t>
  </si>
  <si>
    <t>La desinformación del aprendiz de político @igarzon pone en evidencia al " escudero " de @Pablo_Iglesias_...Que no sepa la Constitución es como para devuelva su nómina de diputado...!!! RT @manumarlasca: Jordi Solé Tura fue uno de los redactores de la Constitución de 1978, representando al PCE, pero supongo que a usted eso le da igual, porque quiero pensar que lo sabe.</t>
  </si>
  <si>
    <t>Pedro Sánchez huele a muerto y lo sabe, porque un presidente socialista español, amparado por separatas y por Pablo Iglesias (antichalet, con chalet)....tiene menos futuro que Falete en el salto con pértiga</t>
  </si>
  <si>
    <t>https://twitter.com/manumarlasca/status/1070675305222823936
https://twitter.com/agarzon/status/1070600644908777472</t>
  </si>
  <si>
    <t>Sevilla  España (SPAIN)</t>
  </si>
  <si>
    <t>A las cositas que pasan o nos pasan en la vida mejor sacarle algo de humor siempre</t>
  </si>
  <si>
    <t>https://www.youtube.com/watch?v=3KGu0jSZYIM&amp;list=PL650Y28jDUauvB6NtMX-FHHslor4vf0sX&amp;index=7</t>
  </si>
  <si>
    <t>Valladolid</t>
  </si>
  <si>
    <t>Vallisoletano de pura cepa,me gusta escribir en libertad.¡Echo en falta a mi perro, al otro lado de esta vida!.Y persigo hasta en sueños el prohibido PROHIBIR</t>
  </si>
  <si>
    <t>Pedro V</t>
  </si>
  <si>
    <t>Agustin Moreno</t>
  </si>
  <si>
    <t>Qué clarito que tiene @Pablo_Iglesias_ quién es Vox: No son nuevos, vienen del PP: son una corriente aznarista y de Esperanza Aguirre; son el PP sin complejos: Son la corriente franquista del Partido Popular.</t>
  </si>
  <si>
    <t>http://disq.us/t/39bip7z</t>
  </si>
  <si>
    <t>Profesor de historia en un instituto de Vallecas hasta hace nada, y activista veterano por los derechos sociales y democráticos</t>
  </si>
  <si>
    <t>Canarias</t>
  </si>
  <si>
    <t>OKDIARIO</t>
  </si>
  <si>
    <t>unplugged brain</t>
  </si>
  <si>
    <t>Maldita hemeroteca 😏 @Pablo_Iglesias_ da la razón a @Santi_ABASCAL: “El derecho a portar armas es una de las bases de la democracia” Por @Gonzagads92 👇</t>
  </si>
  <si>
    <t>Muy bueno. Muy bueno.</t>
  </si>
  <si>
    <t>Dos Hermanas, Sevilla, España</t>
  </si>
  <si>
    <t>Infatigable mosca cojonera. Herciano donde los haya. Granaíno de nacimiento y practicante. Aprendiz de ser humano.</t>
  </si>
  <si>
    <t>El sitio de los inconformistas. Dirigido por @eduardoinda. Síguenos en Facebook: http://facebook.com/okdiario.</t>
  </si>
  <si>
    <t>http://okdiario.com/</t>
  </si>
  <si>
    <t>Patujú Noticias</t>
  </si>
  <si>
    <t>Bolivia</t>
  </si>
  <si>
    <t>Plataforma digital: PatujúNoticias Correo: patujunoticias@gmail.com WhatsApp 71067893</t>
  </si>
  <si>
    <t>Mi otro yo 🇪🇸</t>
  </si>
  <si>
    <t>Marián 🎗</t>
  </si>
  <si>
    <t>Si vota a Podemos no me siga, le aseguro que no le gustará lo que va a leer. Siempre satisfactoriamente insatisfecho.</t>
  </si>
  <si>
    <t>BCN, República de Catalunya</t>
  </si>
  <si>
    <t>Soy una curiosa de la vida y de sus gentes</t>
  </si>
  <si>
    <t>te suena el nombre de Roures? preguntale a @Pablo_iglesias_ RT @MonederoJC: El @PPopular de Casado, @CiudadanosCs de Rivera, @vox_es: tres patas del proyecto de refundación de la derecha auspiciado por Aznar. Y Aznar es una ficha de Murdoch y Bannon. Lo que pone a la derecha española al servicio de la derecha de EEUU. Patriotas...</t>
  </si>
  <si>
    <t>https://twitter.com/MonederoJC/status/1071012494896975872
https://www.elplural.com/politica/lo-nunca-contado-de-la-intima-amistad-entre-albert-rivera-y-santiago-abascal_207666102</t>
  </si>
  <si>
    <t>RTn #Man</t>
  </si>
  <si>
    <t>#Ocio El recado de Bertín Osborne a Pablo Iglesias y Gabriel Rufián</t>
  </si>
  <si>
    <t>https://ift.tt/2E9rKOn</t>
  </si>
  <si>
    <t>Teo Cartagena</t>
  </si>
  <si>
    <t>La principal muestra del éxito del "régimen del 78" , paradójica mente es que @Pablo_Iglesias_ hijo de una familia humilde de Vallecas, pudo estudiar, fundar un partido, acceder a las instituciones y progresar en la vida, teniendo un sueldo y una vivienda digna.</t>
  </si>
  <si>
    <t>#Estilo, #Coches, #Agenda, #Gadgets, #Tecnología, #Moda, #CosasDeHombres.... Nada más y nada menos.</t>
  </si>
  <si>
    <t>Santiago de Compostela</t>
  </si>
  <si>
    <t>http://triangol.agency</t>
  </si>
  <si>
    <t>Abraxas</t>
  </si>
  <si>
    <t>luna 🇪🇸</t>
  </si>
  <si>
    <t>Cada vez que @Pablo_Iglesias_ y Cía hablan nace un votante de @vox_es 😂😂😂😂 RT @Andy66Warhol: Que sigan hablando barbaridades los de PODEMOS de @vox_es, que sigan con sus insultos, que sigan con su discurso guerracivilista. PODEMOS está llenando España de "fascistas". Gracias PODEMOS. Me río en vuestra cara😂😂😂😂😂😂😂😜😂😂😂😂😂</t>
  </si>
  <si>
    <t>https://twitter.com/Andy66Warhol/status/1071122206867054592
https://www.elcorreodemadrid.com/nacional/973749242/El-sistema-de-afiliacion-de-VOX-se-colapsa-tras-superar-los-20.000-afiliados-.html</t>
  </si>
  <si>
    <t>Una persona es tan noble como los ideales que defiende. Nada en el mundo es mas peligroso que la ignorancia sincera y la estupidez concienzuda. M. Luther King</t>
  </si>
  <si>
    <t>Española hasta la medula abstenerse de seguirme podemitas e independentistas</t>
  </si>
  <si>
    <t>bruno bergeide</t>
  </si>
  <si>
    <t>Santi Orozco</t>
  </si>
  <si>
    <t>¿Dónde está la regeneración @Pablo_Iglesias_ ? ¿Casoplón 600 000€ , dinero dictaduras, llamar gente a la violencia en las calles, subir impuestos, libertad de expresión pero sólo si se denigra a otros, apoyo d dictaduras? Mientras @CiudadanosCs sube 🔝 y @ahorapodemos ⬇⬇⬇⤵</t>
  </si>
  <si>
    <t>http://chng.it/mzfvfFYH</t>
  </si>
  <si>
    <t>https://pbs.twimg.com/media/Dt1peo0XcAAUAfH.jpg</t>
  </si>
  <si>
    <t>vivo en la luna con Castafiore</t>
  </si>
  <si>
    <t>constructor de cohetes,bebedor de jerez. Cansado de las chorradas del pueblo aborregado y de la ineptitud generalizada de los políticos.</t>
  </si>
  <si>
    <t>ciudadano</t>
  </si>
  <si>
    <t>Ninguno de nosotros es tan bueno como todos nosotros juntos. Secretario @CsGetxo 🍊👍.</t>
  </si>
  <si>
    <t>http://euskadi.ciudadanos-cs.org/category/getxo/</t>
  </si>
  <si>
    <t>Carlos DPM</t>
  </si>
  <si>
    <t>La República de @Pablo_Iglesias_ y @ahorapodemos ha llegado a Huétor Vega. @cultrun @JorgeBustos1 @NoSoyLaGente</t>
  </si>
  <si>
    <t>https://pbs.twimg.com/media/Dt1oMp0XQAAgeWG.jpg</t>
  </si>
  <si>
    <t>Real Madrid</t>
  </si>
  <si>
    <t>Hala Madrid y nada más.</t>
  </si>
  <si>
    <t>http://vidasancheski.wordpress.com</t>
  </si>
  <si>
    <t>"Pablo Iglesias es responsable del clima violento contra VOX" Santiago Abascal #FelizSábado Campos Elíseos #InmaculadaConcepción AP-7  vía @YouTube</t>
  </si>
  <si>
    <t>Pah Chiclana Cádiz</t>
  </si>
  <si>
    <t>Al @Congreso_Es , @sanchezcastejon , @ConPabloCasado , @Pablo_Iglesias_ , @AlbertRiveraCiu y @Santi_ABASCAL . El Drama de los DESAHUCIOS no Cesa. ¿Otros 40 Años tenemos que esperar para hacer EFECTIVO éste Derecho e Impedir su ESPECULACIÓN? No es Justo un Salario = Un Alquiler.</t>
  </si>
  <si>
    <t>https://pbs.twimg.com/media/Dt1ncjOW4AEQ7iI.jpg</t>
  </si>
  <si>
    <t>Alex Sanz</t>
  </si>
  <si>
    <t>Chiclana de la Frontera, Españ</t>
  </si>
  <si>
    <t>Salud, Esfuerzo y Libertad.</t>
  </si>
  <si>
    <t>Esto no es prensa seria, creo en la libertad de elegir donde quieras/puedas comprar tu casa. Si son incoherentes con sus ideas es su problema pero las cervezas que se compra Pablo Iglesias o la comida que consumen es característica de la prensa ROSA 🤦🏻‍♂️ RT @24clm: 💕 #GENTE - #POLÍTICOS - #PADRES - #MELLIZOS | Así es la vida en el chalé de Pablo e Irene con los mellizos: sus constantes visitas a la farmacia 🙄  vía @24clm</t>
  </si>
  <si>
    <t>https://twitter.com/24clm/status/1071373016674824193?s=21
https://www.clm24.es/articulo/gente/asi-es-vida-chale-pablo-irene-mellizos-constantes-visitas-farmacia/20181208125034228315.html</t>
  </si>
  <si>
    <t>Garbiyo</t>
  </si>
  <si>
    <t>Me temo @Pablo_Iglesias_ que en las próximas elecciones os vais a pegar un buen batacazo. Seguid demonizando a @vox_es , seguid, seguid. Al final os van a quitar hasta la «vox» que tenéis ahora. RT @RIVAS_Llanera: 📽 @Pablo_Iglesias_ califica a @vox_es como la corriente FRANQUISTA del @PPopular y a su líder @Santi_ABASCAL como un corrupto, bajo la Protección de @EsperanzAguirre 🔴 PREGUNTA ⁉️ ¿ Qué es @ahorapodemos y su líder ? @Pablo_Iglesias_ en Espejo Público.</t>
  </si>
  <si>
    <t>Guadalajara, España</t>
  </si>
  <si>
    <t>Jugador, entrenador y árbitro de voleibol. Psicólogo @unicomplutense. Máster en Psicología Forense @urjc. Redic 🍊@CsGuadaCiudad</t>
  </si>
  <si>
    <t>http://guadalajara.ciudadanos-cs.org/</t>
  </si>
  <si>
    <t>Andres F. Antheus</t>
  </si>
  <si>
    <t>EL TRONO DE FRANCIA ES DE LOS AUSTRIAS ANTES QUE DE LOS BORBONES,EL BORBON DE LOS FRANCO NUNCA REINARÁ FRANCIA,YO DESCIENDO DE CAROLUS I DE ESPAÑA Y V DE ALEMANIA DE UN "BASTARDO" PERO TENGO "TIMBRE".Æ @CasaReal @EMADmde @Pablo_Iglesias_ AQUI TIENES TU "JUEGO DE TRONOS" PABLO Æ</t>
  </si>
  <si>
    <t>https://pbs.twimg.com/media/Dt1k3sGXgAINTnx.jpg</t>
  </si>
  <si>
    <t>Spain/Spanien/España</t>
  </si>
  <si>
    <t>Colaborador diversas publicaciones/ Donate BITCOIN 1MCKyST7pAr55enqF4PS7LBqZih6sepUZs</t>
  </si>
  <si>
    <t>Javier Cabrera</t>
  </si>
  <si>
    <t>Tengo dos opciones para ver a quién te refieres ,una a @Pablo_Iglesias_ y otra a @Quintorraipla RT @perezreverte: "Frente a una multitud analfabeta o con escasa cultura, un tirano, pero también un revolucionario, pueden lograr resultados sorprendentes. Se encuentran ante una masa homogénea que se dejará mover con sólo una palanca". (Ernst Jünger)</t>
  </si>
  <si>
    <t>La Hora Digital</t>
  </si>
  <si>
    <t>📢 @Pablo_Iglesias_ ha animado a @CiudadanosCs a romper con @PPopular y @vox_es y valorar una opción alternativa que pasa por pactar con el @PSOE, una posibilidad que "están dispuestos a permitir" 👉🏻  #LaHoraDigital #7deDiciembre #Andalucía</t>
  </si>
  <si>
    <t>https://lahoradigital.com/noticia/17805/politica/iglesias-propone-un-pacto-psoe-ciudadanos-para-excluir-a-la-ultraderecha.html</t>
  </si>
  <si>
    <t>La hora de la verdad. Dirigido por @conchaminguela1 | Síguenos también en Facebook, Instagram y YouTube | @LaHoraFeminista</t>
  </si>
  <si>
    <t>http://www.lahoradigital.com</t>
  </si>
  <si>
    <t>Miguel Angel Sanz</t>
  </si>
  <si>
    <t>Sin problemas @Pablo_Iglesias_ solo tienes q ganar las elecciones y conseguir 2/3 de los diputados y senadores, entonces podras plantear la reforma, pero creo q llevas mal camino, cada vez tienes menos votos, te has preguntado por q? RT @Pablo_Iglesias_: “Una mayoría de españoles preferiría que España fuese una república y desea, además, que se celebre un referéndum para decidirlo. Eso es lo que se desprende de la última encuesta que YouGov ha elaborado en exclusiva para El HuffPost” 👇🏼</t>
  </si>
  <si>
    <t>Harto del maldito doble rasero al que se apunta todo el mundo</t>
  </si>
  <si>
    <t>Miguel</t>
  </si>
  <si>
    <t>oye ya fuera de broma,parad de firmar que lo metéis preso en serio al final,pobrecillo si ni sabrá lo que dijo¿no os da pena?</t>
  </si>
  <si>
    <t>Jose Arias</t>
  </si>
  <si>
    <t>Eres escoria @Pablo_Iglesias_ RT @infiltradoxxx: Cuando el Rey supo del problema de los hijos de los Iglesias-Montero les llamo para preocuparse por su estado, hoy Pablo Iglesias le ha negado el saludo, poco más que añadir.</t>
  </si>
  <si>
    <t>https://www.change.org/p/ministerio-de-justicia-pena-de-prisi%C3%B3n-de-1-a-4-a%C3%B1os-para-pablo-iglesias-por-delito-de-odio?recruiter=744332884&amp;utm_source=share_petition&amp;utm_medium=twitter&amp;utm_campaign=psf_combo_share_initial.pacific_email_copy_en_us_3.control.pacific_email_copy_en_us_5.v1.pacific_post_sap_share_gmail_abi.control.pacific_email_copy_en_gb_4.v1.lightning_2primary_share_options_more.fake_control&amp;utm_term=psf_combo_share_abi.pacific_email_copy_en_gb_4.v1.pacific_post_sap_share_gmail_abi.control.pacific_email_copy_en_us_3.control.pacific_email_copy_en_us_5.v1.lightning_2primary_share_options_more.variant</t>
  </si>
  <si>
    <t>Me gusta el cine y los sorteos y ya no trae remedio.jeje</t>
  </si>
  <si>
    <t>http://line.me/ti/p/~avefenix43</t>
  </si>
  <si>
    <t>Ad augusta per angusta</t>
  </si>
  <si>
    <t>ATLETI como forma de vida❤️ •MCMIII•</t>
  </si>
  <si>
    <t>Raúl♒</t>
  </si>
  <si>
    <t>esto es una vergüenza @Albert_Rivera , @pablocasado_ , @Pablo_Iglesias_ Explicárselo a @sanchezcastejon más q oposición de justicia es de injusticia.RT @ESFOJU: Escándalo en Justicia: opositores acusan a Gobierno y sindicatos de regalar plazas a interinos</t>
  </si>
  <si>
    <t>https://twitter.com/ESFOJU/status/1070951092144476160?s=19
https://www.elindependiente.com/economia/2018/12/07/escandalo-en-justicia-opositores-acusan-a-gobierno-y-sindicatos-de-regalar-plazas-a-interinos/?utm_source=share_buttons&amp;utm_medium=twitter&amp;utm_campaign=social_share</t>
  </si>
  <si>
    <t>Mi mayor orgullo, haber sido bloqueado por Otegi, Puigdemont y Pilar Rahola. Vamos a por Rufián y Pablo Iglesias!!!</t>
  </si>
  <si>
    <t>Gandia</t>
  </si>
  <si>
    <t>Lo único que necesita el mal para triunfar es que las buenas personas no hagan nada.</t>
  </si>
  <si>
    <t>D. Castell</t>
  </si>
  <si>
    <t>Así nos miente el gobierno, pero me pregunto dónde están los pensionistas españoles que posiblemente no cobrarán la paga de Junio de 2019 o tal vez ni la pensión mensual porque hay que pagar al ejercito extranjero de @sanchezcastejon y @Pablo_Iglesias_</t>
  </si>
  <si>
    <t>pic.twitter.com/xmf6ZsY6lK</t>
  </si>
  <si>
    <t>Aprendiendo siempre. Quien ama de verdad lo hace en silencio, con hechos, y nunca con palabras.</t>
  </si>
  <si>
    <t>Caso Aislado</t>
  </si>
  <si>
    <t>Los españoles comienzan a recoger firmas para que Pablo Iglesias sea condenado por un delito de odio contra @vox_es. Recordemos que este viernes dos afiliados del partido fueron agredidos por la extrema izquierda.</t>
  </si>
  <si>
    <t>Librepensador</t>
  </si>
  <si>
    <t>Sabes lo que sucede @Pablo_Iglesias_ . Para los de abajo que no les cierren el ambulatorio o la escuela ya es cambiar el mundo. Adelante compañero. RT @Pablo_Iglesias_: “Quizá la izquierda necesita dejar de lado la épica para enamorarse de lo efectivo. Aceptar que no se acerca uno a la urna para cambiar el mundo, sino para que no le cierren el ambulatorio del barrio” Interesante este artículo de @gerardotc 👇🏼</t>
  </si>
  <si>
    <t>Junto al mar mi corazón</t>
  </si>
  <si>
    <t>Me enamoré de aquellas palabras Para todos la luz.</t>
  </si>
  <si>
    <t>Mercat Municipal Sant Esteve de les Roures 🎗</t>
  </si>
  <si>
    <t>Para todos aquellos que decíais que por culpa de los catalanes que no quieren aprobar los presupuestos y/o no deseabais la subida del SMI. @Pablo_Iglesias_ @pablocasado_ @pnique @InesArrimadas Salari mínim de 900 euros serà efectiu l'1 de gener per decret</t>
  </si>
  <si>
    <t>Cuenta oficial de @CasoAislado_es. Medio independiente.</t>
  </si>
  <si>
    <t>http://www.casoaislado.com</t>
  </si>
  <si>
    <t>https://www.naciodigital.cat/noticia/168437/salari/minim/900/euros/sera/efectiu/gener/decret#.XArEphwO4zo.twitter</t>
  </si>
  <si>
    <t>Sant Esteve de les Roures</t>
  </si>
  <si>
    <t>Des del 1714 i ubicat a la Plaça del poble, el mercat municipal apropa els prod. desde la terra, mar, aire i granges a les vostres llars i fogons.</t>
  </si>
  <si>
    <t>Irónico Cabreado</t>
  </si>
  <si>
    <t>La frecuencia con la que se usa hoy en dia expresiones como "facha" "fascista" "rojo"... asusta y refleja lo dividida que esta la sociedad. @sanchezcastejon @Pablo_Iglesias_ @pablocasado_ @Albert_Rivera @agarzon @JuanMarin_Cs @gabrielrufian @pnique ¿Q tal si hay + diálogo ?</t>
  </si>
  <si>
    <t>Yosef Bakali</t>
  </si>
  <si>
    <t>💜Yo lo tengo claro, y avalo a @Pablo_Iglesias_ para líderar un proyecto valiente con la gente y fraternal con los pueblos de España. 👉Te invito a entrar en  y hacerlo tu también, porque el cambio también está en tus manos</t>
  </si>
  <si>
    <t>http://participa.podemos.info</t>
  </si>
  <si>
    <t>https://pbs.twimg.com/media/Dt1hdIQWkAAf5vs.jpg</t>
  </si>
  <si>
    <t>Entre escribir y política va la cosa. Estudiante de Ciencias políticas y de la Administración por la @univgirona</t>
  </si>
  <si>
    <t>http://infojovenbcn.wordpress.com</t>
  </si>
  <si>
    <t>Pablo Iglesias podría ser juzgado por incitación a la violencia según el Código Penal</t>
  </si>
  <si>
    <t>HECTORMANN9</t>
  </si>
  <si>
    <t>Cómo plantear la supuesta mala fe de un tipo encargado de la #proteccióndedatos c @EsperanzAguirre si todos los q han ido c ésta o están presos o demorando los procesos c fueros y cosas @Pablo_Iglesias_ @JesusCintora @Europarl_ES @eldiarioes @publico_es @pnique @TeresaRodr_ 🙄</t>
  </si>
  <si>
    <t>Aragón</t>
  </si>
  <si>
    <t>Me siguen rebelando las injusticias No me gusta la hipocresía ni los líderes d la derecha q s piensan que la bandera les hace mejores,dos jetas más q alimentar</t>
  </si>
  <si>
    <t>Alfonso Campuzano</t>
  </si>
  <si>
    <t>El matrimonio noble de Galapagar, @Irene_Montero_ &amp; @Pablo_Iglesias_, neocomunista, situado en un extremo de la parrilla parlamentaria, con gestos y palabras decimonónicos, trata de confundir a los posibles votantes en los próximos comicios. #EleccionesGeneralesYa. #Y_así.</t>
  </si>
  <si>
    <t>https://pbs.twimg.com/media/Dt1grjbW0AIduTB.jpg</t>
  </si>
  <si>
    <t>Guadalupe</t>
  </si>
  <si>
    <t>No puedo estar más de acuerdo con el contenido de esta carta en su totalidad.</t>
  </si>
  <si>
    <t>Entre Valladolid y Candás</t>
  </si>
  <si>
    <t>2015:#La_Burbuja_Blindada; 2016:#Hechizo; 2017:#Nieve_Oculta;... Médico Cirujano Traumatólogo Rehabilitador</t>
  </si>
  <si>
    <t>http://cupuladepapel.blogspot.com.es</t>
  </si>
  <si>
    <t>Totalmente exenta de PPeína en el cerebro. Atea por herencia familiar y convencimiento personal. De Izquierdas REPUBLICANA y Feminista. 💛💛💛 ❤️💛💜</t>
  </si>
  <si>
    <t>JLP</t>
  </si>
  <si>
    <t>Es bueno recordarselo por lo menos una vez al mes. @Pablo_Iglesias_ árbol genealógico.</t>
  </si>
  <si>
    <t>https://pbs.twimg.com/media/Dt1gqWaW4AIWZki.jpg</t>
  </si>
  <si>
    <t>Madrid  España</t>
  </si>
  <si>
    <t>GUADARRAMA. No soporto a podemistas, ni separatistas. Bloq. a la de ya. La verdad te hará libre. Real Madrid en el corazón. 💓 Tabarnia y voto #PP</t>
  </si>
  <si>
    <t>marta rdz🇪🇸</t>
  </si>
  <si>
    <t>➡️ Está es la carta que NINGUNA persona, desearía recibir.👇 "Si te pasas del plazo, empezaremos a ejecutar" @gabrielrufian @ahorapodemos @Pablo_Iglesias_ @pnique @BeatrizTalegon @JoanTarda @agarzon @ehbilducongreso</t>
  </si>
  <si>
    <t>QUÉ.es</t>
  </si>
  <si>
    <t>https://pbs.twimg.com/media/Dt1gM2zW0AAAyaC.jpg</t>
  </si>
  <si>
    <t>Así es el Belén que incluye desde el chalet de Pablo Iglesias, a Susana Díaz o concursantes de 'OT'</t>
  </si>
  <si>
    <t>Cataluña, España</t>
  </si>
  <si>
    <t>https://www.que.es/listas/asi-es-el-belen-que-incluye-desde-el-chalet-de-pablo-iglesias-a-susana-diaz-o-concursantes-de-ot.html</t>
  </si>
  <si>
    <t>Catalana, andaluza y aragonesa. Cataluña siempre será 🇪🇸 Orgullosa de CNP💙 Y la GC💚</t>
  </si>
  <si>
    <t>https://pbs.twimg.com/media/Dt5I84nXgAAUHT5.jpg</t>
  </si>
  <si>
    <t>🌍 Cuenta oficial del Diario QUÉ. Escúchanos en @Que_Radio y visítanos en Facebook https://www.facebook.com/Que.es</t>
  </si>
  <si>
    <t>http://www.que.es</t>
  </si>
  <si>
    <t>TheWorld</t>
  </si>
  <si>
    <t>🇪🇸 debería tener un Rey @CasaReal que x lo menos defendiera La Corona y su país cuando @Pablo_Iglesias_ y @sanchezcastejon ponen su valor en riesgo y en duda. Queremos un Rey que se moje más! #40AñosdeConstitución #españa #VOX</t>
  </si>
  <si>
    <t>elDebate.es</t>
  </si>
  <si>
    <t>OBJETIVIDAD PARA EL MUNDO</t>
  </si>
  <si>
    <t>Pablo Echenique criticó a Santiago Abascal por una pistola desde que su familia fue amenazada por ETA.</t>
  </si>
  <si>
    <t>https://eldebate.es/politica-de-estado/cisma-en-podemos-cuando-iglesias-defendia-el-derecho-a-portar-armas-20181207</t>
  </si>
  <si>
    <t>fabian losada b</t>
  </si>
  <si>
    <t>No vea antes y primero @Pablo_Iglesias_ el mismo domingo llama a la batalla y ahora @TeresaRodr_ se fotografía con este peligro público, solo falta @JM_Kichi que salga con #otegui de copas. La extrema derecha fascista que viene es el peligro eaaaaa eaaaa eaaaaa RT @eduardoinda: El podemita que dice que va a salir a “matar fascistas” se fotografía con @TeresaRodr_</t>
  </si>
  <si>
    <t>Nadie habla de ello. Nosotros sí.</t>
  </si>
  <si>
    <t>https://eldebate.es/</t>
  </si>
  <si>
    <t>https://twitter.com/eduardoinda/status/1071109895326453767
https://okdiario.com/espana/andalucia/2018/12/07/podemita-que-dice-que-va-salir-matar-fascistas-fotografia-teresa-rodriguez-3437549?utm_campaign=inda&amp;utm_medium=Social&amp;utm_source=Twitter#Echobox=1544181383</t>
  </si>
  <si>
    <t>Un gran comercial, que siempre te venderá lo que quieras.</t>
  </si>
  <si>
    <t>Esther</t>
  </si>
  <si>
    <t>Alguno de los diputados de @ahorapodemos apoya a Marta o le váis a hacer un @AlbanoDante76 ? Cada día una decepción nueva con vosotros @Pablo_Iglesias_ @agarzon #barcenas #Villarejo #Republica RT @Marta_Sibina: Soy diputada en el Congreso y necesito ayuda. Ante el pacto de silencio la única arma que me queda es grabar este vídeo con la esperanza de que llegue al máximo de personas posible.</t>
  </si>
  <si>
    <t>https://twitter.com/Marta_Sibina/status/1071025549252923392
https://youtu.be/RjNnyJ_c2MU</t>
  </si>
  <si>
    <t>Pamplona, España</t>
  </si>
  <si>
    <t>Andaluza viviendo en Pamplona, creo en los animales y en unas pocas personas.</t>
  </si>
  <si>
    <t>https://www.elconfidencial.com/espana/2018-11-29/amenaza-adelanto-electoral-baja-pablo-iglesias-enero_1671846/?utm_source=twitter&amp;utm_medium=social&amp;utm_campaign=BotoneraWeb</t>
  </si>
  <si>
    <t>Nazionalbarcelonismo</t>
  </si>
  <si>
    <t>La mascota de @Pablo_Iglesias_ ya no sabe que hacer para salir de la indiferencia. En este caso hace el ridículo, as usual. RT @agarzon: Hoy los actos oficiales nos venden la Constitución y la democracia como un producto creado por brillantes prohombres (no mujeres) de consenso. Ausente toda consideración al movimiento obrero, al PCE y a la lucha antifranquista, verdadero motor de la democracia.</t>
  </si>
  <si>
    <t>https://twitter.com/agarzon/status/1070600644908777472</t>
  </si>
  <si>
    <t>Rodrigo Sáiz Garcia</t>
  </si>
  <si>
    <t>En q te basas @Pablo_Iglesias_ para decir q 1 mayoría d españoles prefiere la república?? No lo dirás x los diputados q tienes?? QUE NO SON MAYORÍA NI POR ASOMO. Q república propones, 1 como la venezolana o la iraní?? No te gustan las monarquias noruega o danesa?? Son modélicas RT @Pablo_Iglesias_: “Una mayoría de españoles preferiría que España fuese una república y desea, además, que se celebre un referéndum para decidirlo. Eso es lo que se desprende de la última encuesta que YouGov ha elaborado en exclusiva para El HuffPost” 👇🏼</t>
  </si>
  <si>
    <t>http://ramblalibre.com/2018/12/08/carta-a-pablo-iglesias-eres-un-botarate-rancio-al-que-solo-votan-las-emporradas/#.XAuyQC6KoRk.twitter</t>
  </si>
  <si>
    <t>Burgalés del 73, abogado, caraqueño consorte, y muchas más cosas...Mis opiniones son solo mías, pero si te gustan te las presto. #YoestoyconelRey</t>
  </si>
  <si>
    <t>SoyelAzote</t>
  </si>
  <si>
    <t>Ánims @Pablo_Iglesias_ RT @indisioux: Echenique criticando que Abascal llevara una pistola para defenderse de ETA y Pablo Iglesias reivindicando el derecho a portar armas. A ver, podéis ser demagogos, pero un orden por favor que liáis a las bases.</t>
  </si>
  <si>
    <t>https://twitter.com/indisioux/status/1070804149732806657</t>
  </si>
  <si>
    <t>pic.twitter.com/DIMjapOq7P</t>
  </si>
  <si>
    <t>Detrás de ti....</t>
  </si>
  <si>
    <t>Si te pone mi LATIGAZO... eres un delincuente. Soy tu azote, soy el azote. Mis insultos son sin ánimo de ofender, al estilo de los PERROFLAUTAS PODEMISTAS</t>
  </si>
  <si>
    <t>J. W. Pepper</t>
  </si>
  <si>
    <t>Pero que hijos de la gran puta. A estos blanquea el chepao de Pablo Manuel Iglesias Turrión. Marqués de Villatinaja e hijo de terrorista.</t>
  </si>
  <si>
    <t>jrivhe</t>
  </si>
  <si>
    <t>Eres basura .@Pablo_Iglesias_ RT @infiltradoxxx: Cuando el Rey supo del problema de los hijos de los Iglesias-Montero les llamo para preocuparse por su estado, hoy Pablo Iglesias le ha negado el saludo, poco más que añadir.</t>
  </si>
  <si>
    <t>https://pbs.twimg.com/media/Dt5IXb8WwAAXKDJ.jpg</t>
  </si>
  <si>
    <t>Licenciado en Periodismo📰. ¡VIVA ESPAÑA🇪🇸! #DelAtletiSoy🔴⚪️ XXXIV💙</t>
  </si>
  <si>
    <t>BATALWAYS</t>
  </si>
  <si>
    <t>Creo con convicción en la seguridad jurídica, en el libre mercado y en la propiedad privada, lo que hace de mí un “farcista”. Y del Aleti de Madriz, claro.</t>
  </si>
  <si>
    <t>Álvaro Maldonado FT</t>
  </si>
  <si>
    <t>Cuando los hijos de @Pablo_Iglesias_ estuvieron graves, los Reyes le llamaron para interesarse por ellos. Ayer, en el Congreso, les negó el saludo. El odio puede más. Siento pena y vergüenza!!</t>
  </si>
  <si>
    <t>Consejero de TTTSOCIAL CENTER.Partner de IPGLOBAL.Me gusta leer,los toros,la caza y la gastronomía.Socio del Atleti.Me preocupa ESPAÑA</t>
  </si>
  <si>
    <t>Crees que @Pablo_Iglesias_ debería ser inhabilitado para cargo público por el llamamiento a la movilización contra los resultados de unas elecciones democráticas?</t>
  </si>
  <si>
    <t>Luis Vicente Torregrosa Jordá</t>
  </si>
  <si>
    <t>Si eso es así como dice @Pablo_Iglesias_ hay una solución para ello, y es utilizar La Constitución, que es el único camino valido para ello ya que fue aprobada en su día por referéndum democrático. Para ello se utiliza el Titulo,X (Articulo 168). RT @Pablo_Iglesias_: “Una mayoría de españoles preferiría que España fuese una república y desea, además, que se celebre un referéndum para decidirlo. Eso es lo que se desprende de la última encuesta que YouGov ha elaborado en exclusiva para El HuffPost” 👇🏼</t>
  </si>
  <si>
    <t>Toledo, España</t>
  </si>
  <si>
    <t>Católico Apostólico y Romano. Demócrata-Conservador. Apasionado por la historia y medios de información. Estudios: F.P. Casado en 2013 en Toledo con Elena.</t>
  </si>
  <si>
    <t>http://facebook.com/luisvicentetor8</t>
  </si>
  <si>
    <t>J.Joaquín Retazos H.</t>
  </si>
  <si>
    <t>Me dirijo a Ti @Pablo_Iglesias_ 👉 #Vnzla Será la "Tumba Electoral de #Podemos " Puedes creerlo. Será así...y tú, los tuyos y toda la Patulea Infesta Comunista Lo verá, Lo perderéis todo XQ´ NO tenéis derecho a Gobernar #España Os habéis burlado del Hambre de nuestro Pueblo!</t>
  </si>
  <si>
    <t>https://pbs.twimg.com/media/Dt1X4jnW4AEyphX.jpg</t>
  </si>
  <si>
    <t>ESPAÑOL, Maño, aragonés y europeo.</t>
  </si>
  <si>
    <t>La justicia debería pedir responsabilidades al chepa, espero lo haga como acusación particular @vox_es</t>
  </si>
  <si>
    <t>Mi Patria es IndoAmérica #Seasap</t>
  </si>
  <si>
    <t>Yo, trabajador medio y ahorrador de poco, aunque lo intento, en 3 años no ahorro ni para la puerta de entrada del CASOPLÓN del Coletas @Pablo_Iglesias_ Y él ha pasado de un pisito de P.O. a un casoplón al estilo de los de Hollywood. ¿Algún truco? Que alguien me lo cuente, por fa.</t>
  </si>
  <si>
    <t>https://pbs.twimg.com/media/Dt1XiIjWoAEIdUr.jpg</t>
  </si>
  <si>
    <t>‼️👉 El problema de Rufián es que tiene complejo de charnego. Sobreactúa para que le perdonen el no tener ocho apellidos catalanes El dardo de Bertín Osborne a Gabriel Rufián y Pablo Iglesias "España es el país con más políticos idiotas por metro cuadrado"</t>
  </si>
  <si>
    <t>Bruce Lee 💱🇨🇳</t>
  </si>
  <si>
    <t>Los del chalet de la foto son la feminazi ( por una vivienda digna) @Irene_Montero_ y el CHEPAS @Pablo_Iglesias_</t>
  </si>
  <si>
    <t>https://pbs.twimg.com/media/Dt1WteWX4AIbfRE.jpg</t>
  </si>
  <si>
    <t>Manchester 🇺🇸🇬🇧🇪🇸✝️</t>
  </si>
  <si>
    <t>EUROPE SUCKS MAKE EUROPE GREAT FOR ONCE 💎Shine on your crazy diamonds 💎 🌒 Dark Side Of The Moon🌒 #CONSERVATIVE #PATRIOT #MAGA #POTUS🇺🇸🇬🇧🇪🇸✝️</t>
  </si>
  <si>
    <t>Hong Kong</t>
  </si>
  <si>
    <t>La mentira y el engaño tiene fecha de vencimiento. Bloqueado por el terrorista @ArnaldoOtegi y su admirador @Pablo_Iglesias_</t>
  </si>
  <si>
    <t>http://www.antipodemosetarraseindependentistas.com</t>
  </si>
  <si>
    <t>LaPerraDeGallifantes</t>
  </si>
  <si>
    <t>Curioso17</t>
  </si>
  <si>
    <t>Hola @pnique @Pablo_Iglesias_ y demas despojo podemita e independentista. A ver si ahora pedis disculpas con la misma intensidad RT @elespanolcom: El Tribunal de Cuentas da la razón a Cs: "No existe infracción alguna sancionable"</t>
  </si>
  <si>
    <t>La diferencia entre el rey y Pablo Iglesias. El rey llamó a iglesias para interesarse por la salud de sus hijas. Iglesias nunca llamaría al rey para interesarse por la salud de su familia, seguramente, pondría un tweet con una guillotina.</t>
  </si>
  <si>
    <t>https://twitter.com/elespanolcom/status/1071081635964223489
https://www.elespanol.com/espana/politica/20181207/tribunal-cuentas-cs-no-infraccion-alguna-sancionable/358964793_0.html</t>
  </si>
  <si>
    <t>Soy una historia de éxito. Salí de Jaen y tras doctorarme en astrofísica por la Pomperru Fabra aspiro a presidir la República Catalana, gracias a #Gallifantes</t>
  </si>
  <si>
    <t>Jose Luis Gutiérrez</t>
  </si>
  <si>
    <t>Dice @Pablo_Iglesias_ que fue el poste el que le dio por detras.</t>
  </si>
  <si>
    <t>Amante de la libertad, detesto los dictadores, luchemos contra los farsantes</t>
  </si>
  <si>
    <t>https://pbs.twimg.com/media/Dt1WSxEX4AEkXlV.jpg</t>
  </si>
  <si>
    <t>IEO Tabarnés</t>
  </si>
  <si>
    <t>Pablo Iglesias ha incitado el odio y a las revueltas. Firma y que se le condene.  vía @change_es</t>
  </si>
  <si>
    <t>JMConejo🎗</t>
  </si>
  <si>
    <t>Hola @Pablo_Iglesias_ : los republicanos no necesitamos nuevos símbolos cursis y “de diseño”: ya tenemos los de siempre ! Por esta bandera lucharon nuestros mayores, contra el fascismo y por libertad . Esta será nuestra bandera y nuestro símbolo : ayer, hoy y siempre !</t>
  </si>
  <si>
    <t>http://chng.it/NDPZ8wvN</t>
  </si>
  <si>
    <t>https://pbs.twimg.com/media/Dt1WG4fW0AArg_a.jpg</t>
  </si>
  <si>
    <t>A Son Servera ... o pel món!</t>
  </si>
  <si>
    <t>Mallorca Republicana, Lliure i Independent ! 🎗</t>
  </si>
  <si>
    <t>Para ser politicamente correcto, ya hay otros. Fuera la dictadura de lo políticamente correcto. Se feliz coño.</t>
  </si>
  <si>
    <t>RaPiqFu</t>
  </si>
  <si>
    <t>.@Pablo_Iglesias_ a caballo regalao no le mires el diente verdad? RT @DolarToday: SIN PALABRAS... Hugo Chávez regaló más de mil millones de dólares a partidos políticos fuera de Venezuela #TeamHDP</t>
  </si>
  <si>
    <t>https://twitter.com/DolarToday/status/1071048559242371072
https://goo.gl/yYbpwB</t>
  </si>
  <si>
    <t>1ª premisa vestirse por los pies. 2ª premisa pensar por mi mismo. 3ª premisa no perder el tiempo.</t>
  </si>
  <si>
    <t>carmen rodriguez</t>
  </si>
  <si>
    <t>Lo que mas le molesta a @Pablo_Iglesias_ es que @Santi_ABASCAL va a ser implacable con él, que también chupa del bote. La diferencia es que ahora si hay un partido con un líder sin complejos. Sera divertido verles en el Parlamento dentro de muy poco. RT @RIVAS_Llanera: 📽 @Pablo_Iglesias_ califica a @vox_es como la corriente FRANQUISTA del @PPopular y a su líder @Santi_ABASCAL como un corrupto, bajo la Protección de @EsperanzAguirre 🔴 PREGUNTA ⁉️ ¿ Qué es @ahorapodemos y su líder ? @Pablo_Iglesias_ en Espejo Público.</t>
  </si>
  <si>
    <t>barcelona (Spain)</t>
  </si>
  <si>
    <t>Por eso estos representan a la España 🌍 ORX desencanto ciudadano por la política, LibertadConstituyente, Tendencia, Directriz, DEMOCRACIA FORMAL, ESPONTANEIDAD UNITARIA, LibertadConstituyente, IMPOTENCIA MONÁRQUICA, muerta</t>
  </si>
  <si>
    <t>https://eldebate.es/politica-de-estado/las-4-menciones-a-espana-que-podemos-borro-del-discurso-de-pablo-iglesias-tras-el-2-d-20181207</t>
  </si>
  <si>
    <t>La hipocresía COMUNISTA de @Pablo_Iglesias_ : se alza contra las urnas mientras pide que la jefatura del Estado se decida en las urnas...</t>
  </si>
  <si>
    <t>https://www.libertaddigital.com/espana/2018-12-07/iglesias-se-alza-contra-las-urnas-mientras-pide-que-la-jefatura-del-estado-se-decida-en-las-urnas-1276629520/</t>
  </si>
  <si>
    <t>Reino de España 🇪🇸</t>
  </si>
  <si>
    <t>La sonrisa es universal ☕🍺🎶... Excepto para los imbéciles sectarios.</t>
  </si>
  <si>
    <t>https://youtu.be/QFj42skgk1c</t>
  </si>
  <si>
    <t>Monty</t>
  </si>
  <si>
    <t>Pablo Iglesias, alias EL CHEPA, visita la tumba de Franco con nocturnidad y a oscuras y le pide que no le abandone, que no se marche,que el tal Sanchez es un niñato irresponsable y que,aguante que ya le queda poco al okupa de la Moncloa y que vendran tiempos mejores. JODEER</t>
  </si>
  <si>
    <t>https://pbs.twimg.com/media/Dt5GuG0XcAEzEW9.jpg</t>
  </si>
  <si>
    <t>Marta Montiel</t>
  </si>
  <si>
    <t>Vosotros qué opinaís? @Pablo_Iglesias_ @agarzon @sanchezcastejon Vergüenza ajena por los políticos con complejo de Robim Hood, sólo q no le roban a los ricos para dárselo a los pobres, Nos Empobrecen a Todos y se hacen Ricos ELLOS!😡</t>
  </si>
  <si>
    <t>https://pbs.twimg.com/media/Dt1TxxBXQAARPaw.jpg</t>
  </si>
  <si>
    <t>VenEspañola 🇻🇪🇪🇸🇪🇺 en Madrid. Finanzas. Sector Inmobiliario. Pasión por la política y economía mundial.</t>
  </si>
  <si>
    <t>Cierro los ojos e imagino a @Santi_ABASCAL diciendo que no reconoce los resultados electorales y que hay que tomar las calles. Le imagino diciendo que la Constitución es una farsa y que hay que derrocar al Rey. ¿Imagináis? Pero no es él quien lo dice, sino @Pablo_Iglesias_</t>
  </si>
  <si>
    <t>http://ramblalibre.com/2018/12/08/carta-a-pablo-iglesias-eres-un-botarate-rancio-al-que-solo-votan-las-emporradas/#.XAuvpMPf9TQ.twitter</t>
  </si>
  <si>
    <t>Anavel</t>
  </si>
  <si>
    <t>🔴🔴🔴🔴🔴🔴¡HACED CORRER ESTA FOTO QUE HAN ELABORADO LAS HORDAS COMUNISTAS DE @Pablo_Iglesias_ Y SU CHUSMA CREYENDO QUE CON ESO LES VAN A QUITAR SEGUIDORES A @vox_es @Santi_ABASCAL . CREEN QUE LOS ESPAÑOLES SOMOS TAN CORTITOS COMO ELLOS. 😆😆😆😆</t>
  </si>
  <si>
    <t>https://pbs.twimg.com/media/Dt1S8VyWwAE-Wnv.jpg</t>
  </si>
  <si>
    <t>Entre el Cielo y la Tierra</t>
  </si>
  <si>
    <t>Si. Anavel con V. El Ángel al Servicio de Dios. Hace tiempo que bajé el volumen de lo que escucho y subí el tono de lo que siento. 🇪🇸🇪🇸🇪🇸🇪🇸🇪🇸</t>
  </si>
  <si>
    <t>Furretillo</t>
  </si>
  <si>
    <t>Miguel Pérez López</t>
  </si>
  <si>
    <t>RD 216/2014: La energía que se pierde por el camino (y que nos cobran) técnica y por robos sube en verdad la luz @UEmadrid @CasaReal @Pablo_Iglesias_ @pablocasado_ @Albert_Rivera  vía @wordpressdotcom</t>
  </si>
  <si>
    <t>Bertín Osborne: "A Pablo Iglesias no lo voto ni muerto,ni harto de vino" ¿Y qué? ¿Acaso crees que tiene más importancia tu voto que el de los demás? Eso ya lo sabemos,tú eres más de todo lo que huela a Franco. "De casta le viene al galgo"</t>
  </si>
  <si>
    <t>https://efinetika.wordpress.com/2014/07/25/rd-2162014-la-energia-que-se-pierde-por-el-camino-y-que-nos-cobran-sube/</t>
  </si>
  <si>
    <t>ingeniero Tecnico Diseño Industrial,collecting information Divulgador o recolector de Noticias,tendencias tecnologicas, marketing y productos</t>
  </si>
  <si>
    <t>Furretillo,el azote de los imbéciles.</t>
  </si>
  <si>
    <t>Langosto</t>
  </si>
  <si>
    <t>Hola @Pablo_Iglesias_ mira a quién no le gusta tampoco la Constitución del 78. Alomejor os podéis hacer amigos.</t>
  </si>
  <si>
    <t>Joaquin López</t>
  </si>
  <si>
    <t>No se lo tengáis en cuenta chavales, se llama Pistolas Kike, tiene de encabezado una foto de anime con Pablo Iglesias, el chaval bastante tiene que ser él... RT @Pistolaskike: @foromdm @cfreusdeportiu Por una deuda de 5 millones y se pueden marchar 12 jugadores jugando en la liga 123. Entonces el murcia con 50 millones de deuda en 2b cuantos deberían irse? Ojalá les den las facilidades que les dan a otros equipos 🤔</t>
  </si>
  <si>
    <t>https://pbs.twimg.com/media/Dt1SOvwX4AIcB54.jpg</t>
  </si>
  <si>
    <t>https://twitter.com/Pistolaskike/status/1071209462868910085</t>
  </si>
  <si>
    <t>Murcia, España</t>
  </si>
  <si>
    <t>El @realmurciacfsad</t>
  </si>
  <si>
    <t>https://www.instagram.com/joaquinloopez/?hl=es</t>
  </si>
  <si>
    <t>Por eso estos representan a la España 🌎 5EJ LA CULTURA COMO NEGOCIO, DERECHA-IZQUIERDA, PENTECOSTÉS POLÍTICO, REINO DE LA FALSEDAD, DERECHO NATURAL REPUBLICANO, IDEALES SIN IDEOLOGIA, derrotar dialécticamente, LoMásLeído, muerta</t>
  </si>
  <si>
    <t>PodemosParlaOficial</t>
  </si>
  <si>
    <t>#VOXesElPPsinComplejos “Abascal y VOX no son ningún nuevo movimiento, son la corriente franquista del PP. Abascal es EL ENCHUFADO de ESPERANZA AGUIRRE. Lleva chupando del bote décadas”, @Pablo_Iglesias_</t>
  </si>
  <si>
    <t>pic.twitter.com/Tr1z2urQKZ</t>
  </si>
  <si>
    <t>Avd. Juan Carlos I 1 (post.)</t>
  </si>
  <si>
    <t>Twitter oficial de Podemos Parla</t>
  </si>
  <si>
    <t>http://podemosparla.org</t>
  </si>
  <si>
    <t>LUIS</t>
  </si>
  <si>
    <t>Hablando alto y claro, y q cada uno asuma su responsabilidad y sus actos, no los de los demás. Tan culpable es el autor, como el cómplice como el encubridor. Carta al tipo que mandó una carta a Pablo Iglesias - Público</t>
  </si>
  <si>
    <t>Cabreados 24h : @pablocasado_: 877 @Albert_Rivera: 1328 @Pablo_Iglesias_: 5199 @Santi_ABASCAL: 6955 @sanchezcastejon: 8488</t>
  </si>
  <si>
    <t>ESPAÑISTAN DEL SUR</t>
  </si>
  <si>
    <t>¡¡VIVA LA LIBERTAD Y LA DEMOCRACIA¡¡¡¡¡</t>
  </si>
  <si>
    <t>https://pbs.twimg.com/media/Dt1RblAX4AEhySz.png</t>
  </si>
  <si>
    <t>Comprenderás mejor lo que @ahorapodemos @Pablo_Iglesias_ quieren decir cuando hablan de blindar las pensiones, derechos sociales? RT @_infoLibre: #PP, #Ciudadanos y #Vox no pueden cerrar #CanalSur sin el apoyo de los andaluces en un referéndum, por @Fervabi</t>
  </si>
  <si>
    <t>Anonymous ES 🏳️‍🌈</t>
  </si>
  <si>
    <t>3.000 firmas en menos de 9 horas 😱😱 No te quedes sin FIRMAR veamos a cuenta gente le interesa esto.  #FelizSábado #InmaculadaConcepción</t>
  </si>
  <si>
    <t>https://twitter.com/_infoLibre/status/1071094563773825024
http://ow.ly/hM2O30mTtWk</t>
  </si>
  <si>
    <t>https://pbs.twimg.com/media/Dt1K1EnW4AYPlSQ.jpg</t>
  </si>
  <si>
    <t>http://chng.it/bJLgSffD</t>
  </si>
  <si>
    <t>Girona, España</t>
  </si>
  <si>
    <t>Somos un grupo de personas apasionadas del mundo Hacker. No somos ni de izquierdas ni de derechas.España para su gente. anonymuses@outlook.com</t>
  </si>
  <si>
    <t>Isabel  Rico</t>
  </si>
  <si>
    <t>Zarautz</t>
  </si>
  <si>
    <t>La carta viral de un médico a Pablo Iglesias en que le explica el auge de Vox en las elecciones andaluzas  vía @abcdesevilla</t>
  </si>
  <si>
    <t>¿Donde estabas tú @Pablo_Iglesias_ y @sanchezcastejon ? Y luego pregunta POR QUÉ VOTAMOS A VOX . MIRAD LA CONSTITUCIÓN DEL AYUNTAMIENTO DE LLODIO . Eso son personas de valores y valientes (ESPAÑA) JUNIO 2003  vía @YouTube</t>
  </si>
  <si>
    <t>https://youtu.be/S8_g6JS2z24</t>
  </si>
  <si>
    <t>https://sevilla.abc.es/elecciones/andalucia/sevi-carta-medico-malaga-pablo-iglesias-201812041654_noticia.html#ns_campaign=rrss-inducido&amp;ns_mchannel=abcdesevilla-es&amp;ns_source=tw&amp;ns_linkname=noticia-video&amp;ns_fee=0</t>
  </si>
  <si>
    <t xml:space="preserve"> Zarautz Gipuzkoa.España</t>
  </si>
  <si>
    <t>Libertad. La VERDAD no se alcanza por mayoría. Dios principio y fundamento de mi vida, la vida el primer derecho.</t>
  </si>
  <si>
    <t>Málaga, España</t>
  </si>
  <si>
    <t>Carlos Domínguez P.</t>
  </si>
  <si>
    <t>No es cuestión de tener razón frente a retrógrados que sólo ven qué hay de lo suyo y su ombligo. La Izquierda no puede ser elitista, debe ganar Elecciones y Gobernar: @agarzon @Pablo_Iglesias_ @sanchezcastejon @ManuelaCarmena @joanribo @AdaColau</t>
  </si>
  <si>
    <t>martinezvelazquez</t>
  </si>
  <si>
    <t>Fran Rivera lanza un merecido mensaje al “golfo” de Pablo Iglesias  vía @ElDiestro_</t>
  </si>
  <si>
    <t>https://www.elconfidencial.com/elecciones-andalucia/2018-12-07/vox-mensaje-andalucia-toros-caza-malaga-pueblos-rojos_1689270/</t>
  </si>
  <si>
    <t>https://www.eldiestro.es/2018/12/fran-rivera-lanza-un-merecido-mensaje-al-golfo-de-pablo-iglesias/</t>
  </si>
  <si>
    <t>Madrid, Madrid</t>
  </si>
  <si>
    <t>española desencantada y muy preocupada</t>
  </si>
  <si>
    <t>Delegado Sindical Enseñanza Pública @educacio_ccoopv</t>
  </si>
  <si>
    <t>http://www.pv.ccoo.es/ensenanzapv</t>
  </si>
  <si>
    <t>Ciro G. Jiménez</t>
  </si>
  <si>
    <t>humberto</t>
  </si>
  <si>
    <t>Todo esto que esta promoviendo el perroflauta de @Pablo_Iglesias_ ,la vergüenza de periodista @SusanaGrisoCFO que le bebe las aguas, y demás escoria podemita,solo hace una cosa,dar más votos a Vox,y hacer que españa se dé cuenta aún más,de la escoria roja que sois!Viva españa 🇪🇸</t>
  </si>
  <si>
    <t>Puerto Real, España</t>
  </si>
  <si>
    <t>un canario que adora españa, y que luchará siempre por su unidad y defenderá su país y bandera con la muerte si fuera necesario! viva españa 🇪🇸</t>
  </si>
  <si>
    <t>valladolid</t>
  </si>
  <si>
    <t>escritor, articulista, narrador, ludoanarquista, pornografo.</t>
  </si>
  <si>
    <t>El vídeo del @PPopular valenciano que responde al sectarismo de @Pablo_Iglesias_: “Constitución somos todos”</t>
  </si>
  <si>
    <t>https://okdiario.com/espana/2018/12/07/video-del-pp-valenciano-que-responde-sectarismo-iglesias-constitucion-somos-todos-3439553?utm_campaign=ok&amp;utm_medium=Social&amp;utm_source=Twitter#Echobox=1544197882</t>
  </si>
  <si>
    <t>He visto el vídeo d @okdiario donde @eduardoinda se despacha como lo vienen haciendo esa caterva aliniada a huevos con el CNI pues sí no a ver este payaso d dónde saca publicar l d Urdangarin @Pablo_Iglesias_ @pnique a este le partía la boca antes d conoceros es harto repelente</t>
  </si>
  <si>
    <t>https://pbs.twimg.com/media/Dt1MaS6WoAIIELO.jpg</t>
  </si>
  <si>
    <t>http://ramblalibre.com/2018/12/08/carta-a-pablo-iglesias-eres-un-botarate-rancio-al-que-solo-votan-las-emporradas/#.XAutJLgSae4.twitter</t>
  </si>
  <si>
    <t>El Topi IIÑII 🇪🇸</t>
  </si>
  <si>
    <t>Se le debería caer la puta cara de vergüenza al marques de Galapagar @Pablo_Iglesias_ RT @infiltradoxxx: Cuando el Rey supo del problema de los hijos de los Iglesias-Montero les llamo para preocuparse por su estado, hoy Pablo Iglesias le ha negado el saludo, poco más que añadir.</t>
  </si>
  <si>
    <t>Votante de VOX. Por lo tanto debo ser extremadamente fascista y orgulloso</t>
  </si>
  <si>
    <t>http://ramblalibre.com/2018/12/08/iglesias/#.XAus4O6slKw.twitter</t>
  </si>
  <si>
    <t>AsturicaAgusta ➰</t>
  </si>
  <si>
    <t>Esto es lo que quiere erradicar @vox_es, las falsas denuncias, criminalizar a las mujeres que las realizan. No todos los hombres son criminales en potencia por el hecho de nacer hombres. @PSOE @ahorapodemos @Pablo_Iglesias_ @Irene_Montero_ @agarzon</t>
  </si>
  <si>
    <t>pic.twitter.com/cVkKXPTYIm</t>
  </si>
  <si>
    <t>Soy responsable de mis actos.</t>
  </si>
  <si>
    <t>GUAYA</t>
  </si>
  <si>
    <t>¿De dónde vienen los sueldos de Irene Montero y Pablo Iglesias para su famoso chalet ?</t>
  </si>
  <si>
    <t>Hipócrita 👏🏻👏🏻 @Pablo_Iglesias_ RT @rouco64: 🔴🔴 El derecho a portar armas es una de las bases de la democracia. DIXIT Pablo Iglesias🔻🔻</t>
  </si>
  <si>
    <t>https://www.google.es/amp/s/www.libremercado.com/2018-05-23/cuanto-cobran-realmente-pablo-iglesias-e-irene-montero-ingresaran-unos-12000-euros-al-mes-1276619156/amp.html</t>
  </si>
  <si>
    <t>People empty me. I have to get away. Charles Bukowski.</t>
  </si>
  <si>
    <t>TEORIA DEL CHAOS SISTEMICO:EN TODO CHAOS EXISTE CIERTO ORDEN,PERO SOLO LO SABE QUIEN LO CREA Æ @CasaReal @EMADmde @Defensagob @agarzon @pnique @pablocasado_ @Pablo_Iglesias_ @sorayasds @stefaniec1971 @Sofia_Deejay @Barbara1Rey @BarackObama @BillGates @Devilisawoman @stevewoz @CIA</t>
  </si>
  <si>
    <t>JOSE ANTONIO</t>
  </si>
  <si>
    <t>Pablo Iglesias es el mayor enemigo de la democracia TENEMOS UN GRAN PROBLEMA EL FRENTE POPULAR PSOE -COMUNISTAS QUIEREN VOLVER AL 36  vía @elmundoes</t>
  </si>
  <si>
    <t>Rafael. S.</t>
  </si>
  <si>
    <t>Me alegra mucho que @monicaoltra no quiera ir con @ahorapodemos ahora @Pablo_Iglesias_ tiene que ir pensando en tener su propia marca fuerte en Valencia.</t>
  </si>
  <si>
    <t>Hoy la clase política, no tiene ni clase ni políticos, desconocen la lealtad. La bandera e himno d España representan las libertades incluso para los mediocres</t>
  </si>
  <si>
    <t>"No ganes el mundo y pierdas tu alma, la sabiduría es mejor que la plata o el oro..." Bob Marley</t>
  </si>
  <si>
    <t>Construyendo Exitos [4,6K]</t>
  </si>
  <si>
    <t>Responsable: Pablo Iglesias. RT @SheltonClyde2:  Otro motivo más para que @Pablo_Iglesias_ sea juzgado, ahóra veremos si realmente hay o no Justicia en España. " los iraníes neceditan difundir un mensaje de izquierdas en Amer. Lat. y España porque eso debilita a sus adversários " Confirmación tácita..</t>
  </si>
  <si>
    <t>https://twitter.com/SheltonClyde2/status/1071060557330042880
http://www.outono.net/elentir/2014/11/12/pablo-iglesias-reconoce-que-se-ha-dejado-usar-por-iran-para-desestabilizar-espana/</t>
  </si>
  <si>
    <t>"Cuando compras un chalé y predicas pobreza, nace un fascista": la carta viral de un andaluz a @Pablo_iglesias_, lo más leído de la semana</t>
  </si>
  <si>
    <t>http://ww.cope.es/sqn9b4</t>
  </si>
  <si>
    <t>● Cuerpo mental funcionando y capaz de grandes cosas. ● Mi currículum: De España 🇪🇸 Desde siempre y para siempre: Español</t>
  </si>
  <si>
    <t>Carlos Mundy</t>
  </si>
  <si>
    <t>No tengo mas remedio que aceptar que tiene toda la razón...VOX también es una consecuencia de la corrupción y de Podemos. IMPRESIONANTE CARTA DE SANTIAGO ABASCAL, PRESIDENTE DE VOX, A PABLO IGLESIAS Pablo,...</t>
  </si>
  <si>
    <t>Godofredo d Bouillón</t>
  </si>
  <si>
    <t>Los amigos de @Pablo_Iglesias_ RT @willycochez: Rusia enviando aviones a maniobras a Venezuela; Irán haciendo lo mismo enviando barcos d guerra. Qué es lo que qujieren provocar: la III Guerra Mundial. Esto afecta a venezolanos pero también a seguridad hemisférica</t>
  </si>
  <si>
    <t>https://twitter.com/willycochez/status/1071090715038502915</t>
  </si>
  <si>
    <t>https://www.facebook.com/100002355967466/posts/1958737167548130/</t>
  </si>
  <si>
    <t>Spain &amp; the UK</t>
  </si>
  <si>
    <t>Writer, celebrity manager, Event organizer and Free Tibet Activist (http://twiends.com/carlosmundy)</t>
  </si>
  <si>
    <t>http://www.tantricproductions.com</t>
  </si>
  <si>
    <t>... con el mazo dando</t>
  </si>
  <si>
    <t>robert refort</t>
  </si>
  <si>
    <t>El autodestructor Pablo Iglesias sigue autodestruyendo a Podemos! Muy bien!</t>
  </si>
  <si>
    <t>Manuela Cañadas</t>
  </si>
  <si>
    <t>El dinero compra chalets pero no la clase y ser un caballero! @Pablo_Iglesias_ RT @infiltradoxxx: Cuando el Rey supo del problema de los hijos de los Iglesias-Montero les llamo para preocuparse por su estado, hoy Pablo Iglesias le ha negado el saludo, poco más que añadir.</t>
  </si>
  <si>
    <t>Lo imposible es lo que no intentas! Presidenta de Convivencia Balear @ConvivenciaBal</t>
  </si>
  <si>
    <t>Manuel Rocamora</t>
  </si>
  <si>
    <t>Emprendedor. Mis palabras persiguen la justicia</t>
  </si>
  <si>
    <t>Iván Rodríguez 🇪🇺 ✒️⚖️</t>
  </si>
  <si>
    <t>Mientras el marqués de la navata @Pablo_Iglesias_ pide guerra civil y violencia contra el fascismo desde su mansión. Íñigo invita al diálogo civilizado con los que no piensan igual. Creo que queda muy claro por donde pasa la supervivencia de @ahorapodemos RT @ierrejon: Interesante volver a debatir con Lasalle 3 años después. Tenemos ideas distintas, pero discutimos con rigor y respeto. Sólo avanzaremos en nuestro país dialogando con quien no piensan como nosotros. Una oportunidad para pensar en serio y con mirada larga</t>
  </si>
  <si>
    <t>https://twitter.com/ierrejon/status/1070745195614883840
https://www.lavanguardia.com/politica/20181211/453352178937/la-reforma-de-la-constitucion-cara-a-cara-entre-errejon-y-lassalle.html</t>
  </si>
  <si>
    <t>Graduado Social. En ocasiones oigo visiones. Socioliberal. Europeo de alto Voltaje. Ávila y Valencia mi raíz. Poeta de habitación. Directiva de @europeistas</t>
  </si>
  <si>
    <t>βΔŘβΔŘΞΔŇ</t>
  </si>
  <si>
    <t>Carta al tipo que mandó una carta a Pablo Iglesias - Público  #MsgistralArticulo de obligada lectura #Certero #FelizSábado</t>
  </si>
  <si>
    <t>El Puyazo</t>
  </si>
  <si>
    <t>Llevar armas sí claro, pero es si para defenderte de mis amigos de ETA...entonces ya ¡Fascista! @Pablo_Iglesias_ @pnique</t>
  </si>
  <si>
    <t>pic.twitter.com/y8GmFXbP40</t>
  </si>
  <si>
    <t>Una persona inquieta en un mundo injusto.</t>
  </si>
  <si>
    <t>Viva la democracia y viva la libertad 🇪🇸</t>
  </si>
  <si>
    <t>Hashira Topinao</t>
  </si>
  <si>
    <t>Señores, esto está adquiriendo tintes insostenibles. El veneno de @Pablo_Iglesias_ y sus compinches están haciendo estallar las mentes podridas de este tipo de memos. @Pablo_Iglesias_ tú serás culpable por incitar al odio si ocurre algo. Eres un mal bicho. ¡Votemos a @VOX! RT @okdiario: El podemita que dice que va a salir a “matar fascistas” se fotografía con @TeresaRodr_</t>
  </si>
  <si>
    <t>https://twitter.com/okdiario/status/1070985213285666817
https://okdiario.com/espana/andalucia/2018/12/07/podemita-que-dice-que-va-salir-matar-fascistas-fotografia-teresa-rodriguez-3437549?utm_campaign=ok&amp;utm_medium=Social&amp;utm_source=Twitter#Echobox=1544167849</t>
  </si>
  <si>
    <t>¡Hola! Soy Hashira. Soy española y me duele la España actual más que un grano en el culo y una puñalada trapera juntos.</t>
  </si>
  <si>
    <t>El Loko de Pitres</t>
  </si>
  <si>
    <t>Saben Vds que los servicios secretos americanos han detenido a la directora de #Huawey por hacer negocios con #Irán ¿no?. Lo digo por que no se a que se espera aquí para hacerlo con @Pablo_Iglesias_ por cobrar también de #Irán el régimen de los ayatolas.</t>
  </si>
  <si>
    <t xml:space="preserve">Sobre el oscuro abismo </t>
  </si>
  <si>
    <t>"El #Socialismo no procede del pueblo. Es una doctrina de "intelectuales" que tuvieron la arrogancia de creer que podrían planificar mejor la vida de todos"</t>
  </si>
  <si>
    <t>El Mundo Baleares</t>
  </si>
  <si>
    <t>Pablo Iglesias es el mayor enemigo de la democracia', la opinión de Tomeu Maura</t>
  </si>
  <si>
    <t>Famélica legión 🔻🌍</t>
  </si>
  <si>
    <t>Otra Vuelta de Tuerka - Pablo Iglesias @Pablo_Iglesias_ con Tristán Ulloa @TrisUlloa, 7 de diciembre de 2018</t>
  </si>
  <si>
    <t>¿Que los trabajadores deben pagar la crisis de banqueros y especuladores con recortes en educación, sanidad y servicios sociales? ¡FUERA DE AQUÍ FACHA INFAME! 😠</t>
  </si>
  <si>
    <t>Palma de Mallorca</t>
  </si>
  <si>
    <t>https://www.youtube.com/channel/UCzxgc4H0oHpD_o05R7wmEAA</t>
  </si>
  <si>
    <t>Perfil de EL MUNDO en Baleares. Foto: Cepillos usados en la limpieza de Sant Llorenç. Foto: A. Vera. Facebook: https://www.facebook.com/elmundobaleares/</t>
  </si>
  <si>
    <t>http://www.elmundo.es/baleares.html</t>
  </si>
  <si>
    <t>José M. Soria</t>
  </si>
  <si>
    <t>No pasarán, el nuevo Hit para estas navidades de @Pablo_Iglesias_, @ahorapodemos, @psoedeandalucia, @AdelanteAND, @iunida, @MailloAntonio y sus amiguetes.</t>
  </si>
  <si>
    <t>https://pbs.twimg.com/media/Dt1EEedW0AE4Bk7.jpg</t>
  </si>
  <si>
    <t>Cazorla, España</t>
  </si>
  <si>
    <t>Poeta cuando los versos me permiten serlo y dibujante de sonrisas. Crítico con la hipocresía y enamorado de España.</t>
  </si>
  <si>
    <t>http://radiotharsus.com</t>
  </si>
  <si>
    <t>ANTICOMUNISTA XTREMO</t>
  </si>
  <si>
    <t>ANA PEREZ FERREIRO 🖍</t>
  </si>
  <si>
    <t>Solo en Cataluña? porque el domingo @Pablo_Iglesias_ dejó corto a un minero de mi pueblo al que echaron de piquete por camorrista. Murió alcoholizado y sólo, raro... verdad? RT @cakealatake: Javier Ortega asegura que VOX pedirá la ilegalización de los partidos que jalean la violencia en Cataluña</t>
  </si>
  <si>
    <t>http://chng.it/LkfSRJTP</t>
  </si>
  <si>
    <t>https://twitter.com/cakealatake/status/1070779525074747393
https://okdiario.com/videos/2018/12/06/javier-ortega-asegura-que-vox-pedira-ilegalizacion-partidos-que-jalean-violencia-cataluna-3436898#.XAmIulwXtYM.twitter</t>
  </si>
  <si>
    <t>venezuela</t>
  </si>
  <si>
    <t>Anti-comunista, Anti-castrista, Anti-chabestia, Anti-izquierdista en cualquiera d sus mutaciones.</t>
  </si>
  <si>
    <t>En formación para entender la actualidad. Apostando por un #movimientocordura Experta en #comunicacion #malamadre y del #bierzo</t>
  </si>
  <si>
    <t>Estrella</t>
  </si>
  <si>
    <t>Cuando Pablo Iglesias dijo que el derecho a llevar armas es «la base de la democracia»... ¿ya no se acuerda que también las llevaba Julio Anguita?  Enviado desde @updayESP</t>
  </si>
  <si>
    <t>https://f7td5.app.goo.gl/FZCG1</t>
  </si>
  <si>
    <t>Público</t>
  </si>
  <si>
    <t>.@Pablo_Iglesias_ entrevista en @tuerka_ovt a Tristán Ulloa Comienza #OVTTristánUlloa en . Síguelo aq…</t>
  </si>
  <si>
    <t>http://www.publico.es
https://www.pscp.tv/w/btqfJjFkclFlWlhscWVSS2J8MU1ueG5OT3JRb3d4T53r292_u5iVf_Qy5tjUlG7cYDLh3npsXOp0V3MPTbLR</t>
  </si>
  <si>
    <t>El primero en pedir disculpas es el más valiente. El primero en perdonar, el más fuerte y, el primero en olvidar, el más feliz.</t>
  </si>
  <si>
    <t>Twitter oficial del Diario Público. @Memoria_Publica @TodasPublico @pub_sinmordazas @yoanimal_p @tremending</t>
  </si>
  <si>
    <t>http://www.publico.es</t>
  </si>
  <si>
    <t>Sergio Valencia</t>
  </si>
  <si>
    <t>Son los mismos fachas de siempre Que vuelva el Pablo Vallekano @Pablo_Iglesias_</t>
  </si>
  <si>
    <t>pic.twitter.com/H7owNGALcE</t>
  </si>
  <si>
    <t>En mi hambre mando yo. No creo en dios ni en Jesucristo, creo en Evaristo. El mayor terrorismo de todos es tu indiferencia. Claro que se puede🔻💜</t>
  </si>
  <si>
    <t>Pablo Iglesias en una reunión con los suyos diciendo que si sabéis fabricar "coctel Molotov"🙄 RT @OrbitaEduardo: Tomen conciencia de quienes sustentan y son los apoyos del Gobierno de Pedro Sánchez. Queda claro en este hilo de 3 twit. ⬇⬇</t>
  </si>
  <si>
    <t>Karlacas</t>
  </si>
  <si>
    <t>Ese es @Pablo_Iglesias_ iglesias ??? RT @OliverLopezCano: Hoy se cumple 20 años de aquel día en que Venezuela escogió a la DESGRACIA de Chávez y no a Irene Saenz ¿QUÉ HUBIESE PASADO?</t>
  </si>
  <si>
    <t>https://twitter.com/OrbitaEduardo/status/1071310977784799232
https://twitter.com/OrbitaEduardo/status/1071171501725024256?s=19</t>
  </si>
  <si>
    <t>https://twitter.com/OliverLopezCano/status/1070680937762119682</t>
  </si>
  <si>
    <t>pic.twitter.com/WjcMg1g64n</t>
  </si>
  <si>
    <t>https://www.youtube.com/channel/UCGQFDQaixBPTYtYENzhaFvA</t>
  </si>
  <si>
    <t>Comienza @tuerka_ovt: @Pablo_Iglesias_ entrevista a @TrisUlloa</t>
  </si>
  <si>
    <t>https://www.publico.es/publico-tv/directo/728460/otra-vuelta-de-tuerka-7-de-diciembre-de-2018?utm_source=twitter&amp;utm_medium=social&amp;utm_campaign=publico</t>
  </si>
  <si>
    <t>https://pbs.twimg.com/media/Dt1A30_WoAE8otS.jpg</t>
  </si>
  <si>
    <t>A. A.</t>
  </si>
  <si>
    <t>Aclarenlo @sanchezcastejon y @Pablo_Iglesias_ RT @numer344: Dicen que nadie ha votado al Rey. Me gustaría saber quien ha votado a Pedro Sánchez.</t>
  </si>
  <si>
    <t>https://twitter.com/numer344/status/1070803382670114816</t>
  </si>
  <si>
    <t>333 y 350 en la resistencia</t>
  </si>
  <si>
    <t>Ni escualido ni majunche. Soy OPOSITOR!!!</t>
  </si>
  <si>
    <t>Jeronimo</t>
  </si>
  <si>
    <t>#TuAbandoboMePuedeMatar #sosprisiones #TuAbandonoPrisiones @interiorgob @prisionesSOS @abandonosoto @EjeDigital @okdiario @Pablo_Iglesias_ @Alfonso_Egea @Albert_Rivera @DefensorPuebloE @eslamananadeFJL @COPE @sextaNoticias @La_SER @jordievole @carlos__alsina nos escucharan</t>
  </si>
  <si>
    <t>https://pbs.twimg.com/media/Dt0--aUXcAEonlF.jpg</t>
  </si>
  <si>
    <t>Flor María Fernández</t>
  </si>
  <si>
    <t>Piden la detención de Pablo Iglesias por ser el promotor de las violentas manifestaciones contra VOX en Andalucía •…</t>
  </si>
  <si>
    <t>https://www.elmatinal.com/actualidad/piden-la-detencion-de-pablo-iglesias-por-ser-el-promotor-de-las-violentas-manifestaciones-contra-vox-en-andalucia/</t>
  </si>
  <si>
    <t>Asturias ,Aviles.</t>
  </si>
  <si>
    <t>ESPAÑOLA. ASTURIANA DE AVILÉS.CATOLICA. ORGULLOSA DE SER ESPAÑOLA.</t>
  </si>
  <si>
    <t>Rosi</t>
  </si>
  <si>
    <t>La prensa criticó hasta la saciedad a @Pablo_Iglesias_ que tenía un número muy alto de diputados, ahora la prensa calla, la prensa no tiene ninguna imparcialidad @el_pais @elmundoes @A3Noticias @DebatAlRojoVivo @_anapastor_ @susannagriso @Mhemeroteca @anarosaq ... todos callados RT @miquinta1: Cuando Unidos Podemos quedó segundo, pidió entrar en el Gobierno y fue criticado porque sólo querían sillones y tocar el poder. Cuando C’s queda tercero y quiere presidir el Gobierno es elogiado porque es juego democrático y alternancia política. #TiempodePactosARV</t>
  </si>
  <si>
    <t>https://twitter.com/miquinta1/status/1071018385784406017</t>
  </si>
  <si>
    <t>A las barricadas, que biene la derecha @Pablo_Iglesias_ @pnique contra mas basura sale por nuestra boca Vox recibe 1.000 afiliados mas, seguir con vuestra enfermedad mental de extrema izquierda🔴 RT @elpais_espana: Vox recibe 1.000 afiliaciones diarias desde el 2 de diciembre  Lo cuenta @javiercasqueiro</t>
  </si>
  <si>
    <t>https://twitter.com/elpais_espana/status/1070400883169599489
http://ow.ly/TFBr30mSzsG</t>
  </si>
  <si>
    <t>Esta es la receta que ayuda a luchar contra la corrupción dentro de las empresas y gobiernos, según 2 ejecutivas españolas encargadas de ello @UEmadrid @CasaReal @sanchezcastejon @Pablo_Iglesias_ @pablocasado_ @Albert_Rivera  vía @BIEspana</t>
  </si>
  <si>
    <t>https://www.businessinsider.es/esta-es-receta-que-ayuda-luchar-corrupcion-dentro-empresas-segun-dos-ejecutivas-espanolas-334381?utm_source=Twitter&amp;utm_medium=referral&amp;utm_campaign=Botones_sociales</t>
  </si>
  <si>
    <t>Esto es @ahorapodemos y todo lo que representa @Pablo_Iglesias_ su enorme odio hacia los católicos que no duda en perseguir para tratar de coaccionar a toda una sociedad pàra imponer su terrible ideología comunista. Y esto es lo que sucederá si no damos la alerta Podemita</t>
  </si>
  <si>
    <t>https://pbs.twimg.com/media/Dt04nQmWwAAJMCv.jpg</t>
  </si>
  <si>
    <t>Jesús Tituto</t>
  </si>
  <si>
    <t>No habrá ninguna alianza internacional militar, como la hubo para derribar el régimen de Gadafi y el de Hussein, para quitar de en medio a este hijode puta, fascista, del que tan orgulloso está el chepas de la coleta y gañote prominente @pablo_iglesias_</t>
  </si>
  <si>
    <t>https://pbs.twimg.com/media/Dt04pGRXQAUMHhn.jpg</t>
  </si>
  <si>
    <t>Tontismo: pensar, decir y querer poner en práctica la primera tontería que pueda sugerírsele al tonto en cuestión. Remito a mi primer tweet.</t>
  </si>
  <si>
    <t>ƈǟʀʍɛռ ֆ.</t>
  </si>
  <si>
    <t>Capitán Spaulding 🤡🎄</t>
  </si>
  <si>
    <t>Esta tarde solo puede mejorar si @Pablo_Iglesias_ me bloquea.</t>
  </si>
  <si>
    <t>Barcelona-Europa-Globalistán</t>
  </si>
  <si>
    <t>Vine, vi, tuiteé y ofendí. Lejos de esta sociedad corrupta, rompiendo malas compañías, abandonando el mundo impío. ✞</t>
  </si>
  <si>
    <t>Licenciada en Ciencias Políticas. De izquierda de por vida</t>
  </si>
  <si>
    <t>Giacomo Giustarini</t>
  </si>
  <si>
    <t>No me extraña que @pablo_iglesias_ tenga odio a todo lo que representa España: menuda vergüenza de fascistas tenemos que a los que cercan, agreden, insultan es a ellos… ni fascistas en condiciones tenemos. #ironíaON</t>
  </si>
  <si>
    <t>Spi</t>
  </si>
  <si>
    <t>Son muchos los simpatizantes y, sobretodo, dirigentes de Podemos, que han criticado duramente la llamada a las manifestaciones convocadas por Pablo Iglesias. Creo que ese no es el camino. Debe aceptar su debacle y buscar soluciones políticas, no de odio.</t>
  </si>
  <si>
    <t>https://www.laverdad.es/murcia/miembros-denuncian-haber-20181207005415-ntvo.html</t>
  </si>
  <si>
    <t>Diáspora</t>
  </si>
  <si>
    <t>Cuenta estrictamente personal.Hablando de lo que me apetece.Convencido pero abierto a que me convenzan de lo contrario.Luego lo defenderé con las mismas fuerzas</t>
  </si>
  <si>
    <t>Juan Megías</t>
  </si>
  <si>
    <t>Enrique Hidalgo León</t>
  </si>
  <si>
    <t>Parece que los vecinos de Galapagar no quieren a tan indeseable vecino bolivariano el CHEPAS @pablo_iglesias_</t>
  </si>
  <si>
    <t>https://pbs.twimg.com/media/Dt03tQ6WwAAeiPz.jpg</t>
  </si>
  <si>
    <t>Murcia, Spain</t>
  </si>
  <si>
    <t>Ingeniero Industrial, PMP,MBA, Microsoft Dynamics NAV Consultor en ITE4 y aprendiendo todos los días de la buena gente.Scout siempre.Miembro Grupo Ilusionando.</t>
  </si>
  <si>
    <t>http://www.ite4.es</t>
  </si>
  <si>
    <t>FINE ART. Músico en creación continua. http://youtube.com/playlist?list=…</t>
  </si>
  <si>
    <t>https://open.spotify.com/album/3FKanDYH2t4tTXehlH9k11</t>
  </si>
  <si>
    <t>Especulador Precoz</t>
  </si>
  <si>
    <t>Llegó El Espcualdor Precoz: @realDonaldTrump @EPN @evoespueblo @MichelTemer @CFKArgentina @EmmanuelMacron @mauriciomacri @JuanManSantos @Pablo_Iglesias_ @pascual_serrano @MonederoJC @EnekoHumor @_isaacrosa @Pablo_Iglesias_ @agarzon @ierrejon @eljueves @orgulloysatisfa RT @CiudadCCS: #Disfruta #Leyendo el @EPrecoz el único periódico humorístico ➡️</t>
  </si>
  <si>
    <t>https://twitter.com/CiudadCCS/status/1071030314334441472
http://bit.ly/2QgeIG5</t>
  </si>
  <si>
    <t>https://pbs.twimg.com/media/DtzvtJoW0AAq6Es.jpg</t>
  </si>
  <si>
    <t>El periódico que especula pero no da empleo</t>
  </si>
  <si>
    <t>José Viruez Arce🎗</t>
  </si>
  <si>
    <t>PODEMOS ha caído entre otras cosas gracias al CHALET de Pablo Iglesias, se puede vivir perfectamente y mejor protegido en un piso grande de un barrio de MADRID que no en un CHALET en las afueras</t>
  </si>
  <si>
    <t>Malakita Liberá 🐍</t>
  </si>
  <si>
    <t>Como bien dice la historia, los regímenes más totalitarios, dictatoriales, crueles y #asesinos han sido #comunistas, dejando más de 100 millones de muertos. @Pablo_Iglesias_ desde sus inicios en la vida #Politica no ha dejado de repartir odio. Y seguirá...</t>
  </si>
  <si>
    <t>Barcelona, Sgda. Famíia.</t>
  </si>
  <si>
    <t>Resistente de #LaCafetera de @radiocable y @mariapuntoes - Haciendo cosas! 👀 Casi siempre en el bosque de Sherwood https://elobservatoryo.tumblr.com/</t>
  </si>
  <si>
    <t>https://www.esdiario.com/257763269/Losantos-advierte-de-lo-que-trama-Iglesias-contra-Vox-y-el-que-le-estorbe.html</t>
  </si>
  <si>
    <t>Dame borregos que yo te los guio.</t>
  </si>
  <si>
    <t>Moncloa lleva de la mano a Telefónica a China para cerrar una alianza con Huawei que tal vez peligre por la interferencia de USA? @UEmadrid @CasaReal @sanchezcastejon @Pablo_Iglesias_ @pablocasado_ @Albert_Rivera</t>
  </si>
  <si>
    <t>http://shr.gs/EiqgdvQ</t>
  </si>
  <si>
    <t>Adelin Waliño</t>
  </si>
  <si>
    <t>"Juan Manuel Jiménez o el fascista desnudo"</t>
  </si>
  <si>
    <t>KIKO BLANCO🏋🏼‍♀️⚽️</t>
  </si>
  <si>
    <t>Jajaja es q no hace falta ni que se les replique ni se les dejen ridículo pues ellos mismo se encargan de todo. @Pablo_Iglesias_ @MonederoJC @pnique RT @rouco64: 🔴🔴 El derecho a portar armas es una de las bases de la democracia. DIXIT Pablo Iglesias🔻🔻</t>
  </si>
  <si>
    <t>Pablo Iglesias, Después de todo lo que has hecho, has largado por tú lengua Viperina, después de poner a España patas arriba, después de quererla convertir en Venezuela. Este mensaje tuyo llega demasiado tarde. Tú y tú modelo de izmierda debe desaparecer de este País</t>
  </si>
  <si>
    <t>https://pbs.twimg.com/media/Dt49Yl6WsAEmWLe.jpg</t>
  </si>
  <si>
    <t>leon , españa</t>
  </si>
  <si>
    <t>Exigete mucho a ti mismo y espera poco de los demas, te ahorraras muchos disgustos Gracias johan, gracias dinho y gracias Leo Messi</t>
  </si>
  <si>
    <t>IS PSOE Malaga</t>
  </si>
  <si>
    <t>Homenaje a Pablo Iglesias:</t>
  </si>
  <si>
    <t>http://izquierdasocialistamalaga.blogspot.com/2018/12/homenaje-pablo-iglesias.html</t>
  </si>
  <si>
    <t>La ministra Delgado presiona a Google y Facebook para controlar la difusión de 'fake news' en España y con la otra mano mantienen la tasa? @UEmadrid @CasaReal @sanchezcastejon @Pablo_Iglesias_ @pablocasado_ @Albert_Rivera</t>
  </si>
  <si>
    <t>http://shr.gs/SRuADHm</t>
  </si>
  <si>
    <t xml:space="preserve">Andalucía. </t>
  </si>
  <si>
    <t>Corriente de opiniòn del PSOE que tiene como objetivo alcanzar el genuino socialismo. Practica una oposiciòn responsable ofreciendo siempre alternativas.</t>
  </si>
  <si>
    <t>Miguel Trinidad Arag</t>
  </si>
  <si>
    <t>Carta de Abascal a Iglesias...¿Es este un ejercicio de extrema derecha...o simplemente datos y realidades que quizás hayan hecho que tantos andaluces voten a VOX?</t>
  </si>
  <si>
    <t>La 'generación desanimada': los jóvenes españoles sin ganas de buscar empleo se disparan pq no hay trabajos acordes a sus estudios en España @UEmadrid @CasaReal @sanchezcastejon @Pablo_Iglesias_ @pablocasado_ @Albert_Rivera</t>
  </si>
  <si>
    <t>https://bit.ly/2G6tOJK</t>
  </si>
  <si>
    <t>Ingeniero, realista, riguroso, crítico.Amante de la lógica, la psicología social, la inteligencia emocional y las gentes con principios.Ex director de empresas</t>
  </si>
  <si>
    <t>http://shr.gs/UKQASjW</t>
  </si>
  <si>
    <t>El "apocalipsis" de los centros comerciales: por qué Ikea o Media Markt se están mudando al centro y Europa paraliza complejos @UEmadrid @CasaReal @sanchezcastejon @Pablo_Iglesias_ @pablocasado_ @Albert_Rivera</t>
  </si>
  <si>
    <t>http://a.msn.com/00/es-es/BBQD9VP?ocid=st</t>
  </si>
  <si>
    <t>Me da vergüenza como español que exista un comunista de m***** como @Pablo_Iglesias_ RT @Odin237: A nosotros nos da vergüenza que exista Podemos, y que legalizaran el partido comunista en el 78, una aberración, y aquí estás. 🤫🇪🇸. Pablo Iglesias: 'Me da vergüenza como español que exista VOX  vía @MediterraneoDGT</t>
  </si>
  <si>
    <t>https://twitter.com/Odin237/status/1070641007992152065
https://www.mediterraneodigital.com/espana/comunidad-de-madrid/pablo-iglesias-me-da-vergueenza-como-espanol-que-exista-vox.html</t>
  </si>
  <si>
    <t>Ileana Ravelo</t>
  </si>
  <si>
    <t>DESGRACIADOS ESCLAVISTAS👊👊🏿👊🏾👊🏻😬@lopezobrador_ @sanchezcastejon @ElenaValenciano @Pablo_Iglesias_ @FedericaMog @mbachelet RT @nizmycuba: Tenemos en #AL a Bolsonaro que nos llena de esperanza, por otra sale este AMLO de Mex. Ya anda pactando con Castro-Canel para recibir médicos de #Cuba de Brasil. Siempre alguien los oxigena, Chávez de Vzla, Obama de EUA, ahora éste. Desgraciados Comunistas</t>
  </si>
  <si>
    <t>https://twitter.com/nizmycuba/status/1069802974866739200
https://www.cubanet.org/big-news/amlo-cuba-mexico-medicos-brasil/</t>
  </si>
  <si>
    <t>https://pbs.twimg.com/media/Dti0IX7U4AECuS3.jpg</t>
  </si>
  <si>
    <t>Amante de la LIBERTAD, la DEMOCRACIA y PROSPERIDAD de los pueblos</t>
  </si>
  <si>
    <t>La verdad es que @Pablo_Iglesias_ da asco y no solo por su desaliñado aspecto.</t>
  </si>
  <si>
    <t>ATLANTE NACHEL</t>
  </si>
  <si>
    <t>Me ha gustado un vídeo de @YouTube ( - SANTIAGO ABASCAL (VOX) acusa a PABLO IGLESIAS (PODEMOS) de INCITAR a</t>
  </si>
  <si>
    <t>http://youtu.be/sB9DLnvfAp0?a</t>
  </si>
  <si>
    <t>Sergio González</t>
  </si>
  <si>
    <t>Este es @Santi_ABASCAL que describe a la perfección a @Pablo_Iglesias_ tengo claro que no habrá respuesta por parte de los podemitas RT @hermanntertsch: Vidas muy distintas las del líder de VOX y el Marqués de la Navata. Aquí se lo recuerda Abascal a Iglesias. Abascal se dirige a Iglesias.</t>
  </si>
  <si>
    <t>Me gusta disfrutar de la Naturaleza. El aire libre, el campo, la montaña, el mar. La lectura de libros interesantes, la buena música, y una buena cocina.</t>
  </si>
  <si>
    <t>http://atlantenachel.jimdo.com/</t>
  </si>
  <si>
    <t>Ingeniero civil, curioso, algo no encaja en toda la composición universal.</t>
  </si>
  <si>
    <t>Lola Pastur</t>
  </si>
  <si>
    <t>PODEVOX🥃🚬</t>
  </si>
  <si>
    <t>Somos él producto de una noche de sexo (y excesos) entre @Pablo_Iglesias_ y @Santi_ABASCAL #PODEVOX</t>
  </si>
  <si>
    <t>https://pbs.twimg.com/media/Dt0wWfjW0AAUjS6.jpg</t>
  </si>
  <si>
    <t>La Moncloa</t>
  </si>
  <si>
    <t>No entiendo el mundo, pero tengo la suerte de entenderme a mi misma.</t>
  </si>
  <si>
    <t>⬇️ Puestos a decir mentiras, mezclemos verdades. ⬇️</t>
  </si>
  <si>
    <t>De pequeño le llamaban la 'pantera rosa' por su discreción y timidez. Se ha convertido en uno de los actores españoles de mayor profundidad y brillantez. @Pablo_Iglesias_ entrevista en @tuerka_ovt a Tristán Ulloa Sigue #OVTTristánUlloa a las 18:00 h. aquí:</t>
  </si>
  <si>
    <t>https://bit.ly/2E89qFe</t>
  </si>
  <si>
    <t>pic.twitter.com/BGhvOiPhQK</t>
  </si>
  <si>
    <t>Ramón Díaz</t>
  </si>
  <si>
    <t>fuideizquierdas</t>
  </si>
  <si>
    <t>Los pacíficos demócratas alentados por su líder @Pablo_Iglesias_ ejerciendo su derecho a manifestarse. Vergüenza! Como bien dijo @Santi_ABASCAL solo hay un responsable. No somos tontos aunque lo penséis, las urnas os esperan @ahorapodemos RT @okdiario: ▶️ #VÍDEO El terror de una vecina desde el balcón de su casa en Tarrasa ante la violencia de los CDR</t>
  </si>
  <si>
    <t>ANDALUCÍA</t>
  </si>
  <si>
    <t>https://twitter.com/okdiario/status/1071056738076418048</t>
  </si>
  <si>
    <t>pic.twitter.com/gzSuuUTkcD</t>
  </si>
  <si>
    <t>fui de izquierdas mientras vi la tv, dejé de serlo cuando dejé de verla.</t>
  </si>
  <si>
    <t>delavida</t>
  </si>
  <si>
    <t>Han escrito una carta abierta al médico fascista, un tal Jiménez, que escribió a Pablo Iglesias culpandole hasta del retraso de las Colonoscopias en Andalucia. Es digna de todo elogio. Xf, leerla. No tiene desperdicio. Está en las noticias del telf.</t>
  </si>
  <si>
    <t>¡Por fin Libres! 🙂</t>
  </si>
  <si>
    <t>En "La España que madruga" de @OndaCero_es dicen: ¿ Por qué @Pablo_Iglesias_ se preocupa por los 400.000 que votaron a @vox_es y no se preocupa por los 300.000 que dejaron de votar a @AdelanteAND ? Un #Zasca a la altura de la pistola de @pnique 🤣</t>
  </si>
  <si>
    <t>El Universo siempre será un enigma, pero es precioso al mirarlo y nuestra gran Esperanza.</t>
  </si>
  <si>
    <t>https://www.periodistadigital.com/periodismo/tv/2018/12/05/ferreras-echenique-pistola-abascal-anguita-podemita-vox.shtml</t>
  </si>
  <si>
    <t>Amo la Libertad por sobre todas las cosas. Si no te gustan las mordazas, sígueme 😻</t>
  </si>
  <si>
    <t>Alberto Viejo</t>
  </si>
  <si>
    <t>Julián José Ahijado</t>
  </si>
  <si>
    <t>Alguien sacará la foto de @Pablo_Iglesias_ besando la tumba de Chávez 😂 RT @elespanolcom: El bulo sobre Santiago Abascal con el que muchos han picado</t>
  </si>
  <si>
    <t>https://twitter.com/elespanolcom/status/1071061771627188228
https://www.elespanol.com/social/20181207/bulo-santiago-abascal-confirma-espana-fakes-cutres/358964679_0.html</t>
  </si>
  <si>
    <t>Escribo desde lo razonable, lo justo, lo sensato. Español por los cuatro costados.</t>
  </si>
  <si>
    <t>Gijon</t>
  </si>
  <si>
    <t>La belleza subsiste siempre en el recuerdo. Everybody loves somebody sometimes. L'important c'est la rose, crois-moi! Asturias siempre. La vida, pura patología.</t>
  </si>
  <si>
    <t>Fabiana</t>
  </si>
  <si>
    <t>La carta viral de un andaluz a Iglesias: "Cuando usted predica pobreza pero se compra un chalé, nace un fascista"  via @20m</t>
  </si>
  <si>
    <t>frcub</t>
  </si>
  <si>
    <t>Zasca de Abascal a la escoria @Pablo_Iglesias_ : “La Monarquía sirve para que alguién como tú no sea presidente”  vía @CorreoDeMadrid</t>
  </si>
  <si>
    <t>https://www.elcorreodemadrid.com/nacional/184261637/Zasca-de-Abascal-a-Iglesias-La-Monarquia-sirve-para-que-alguien-como-tu-no-sea-presidente.html</t>
  </si>
  <si>
    <t>Ningún hombre es lo bastante bueno para gobernar a otros sin su consentimiento. (Abraham Lincoln)</t>
  </si>
  <si>
    <t>France</t>
  </si>
  <si>
    <t>vénézuélienne expatriée en France, le communisme cherche l'égalité par la misère en tirant les gens vers le bas.</t>
  </si>
  <si>
    <t>.@Pablo_Iglesias_ ves como no hace falta contar con dinero de dictaduras para sacar adelante un partido? Los españoles son los q deciden quienes son la gente q va a la política para ayudar a un país y quiénes van a mangonear el país a su antojo.</t>
  </si>
  <si>
    <t>https://www.mediterraneodigital.com/espana/mundo/increible-se-colapsa-el-sistema-de-afiliacion-de-vox-tras-la-avalancha-de-peticiones.html</t>
  </si>
  <si>
    <t>Shelton_Clyde</t>
  </si>
  <si>
    <t>Otro motivo más para que @Pablo_Iglesias_ sea juzgado, ahóra veremos si realmente hay o no Justicia en España. " los iraníes neceditan difundir un mensaje de izquierdas en Amer. Lat. y España porque eso debilita a sus adversários " Confirmación tácita..</t>
  </si>
  <si>
    <t>Philadelphia, PA</t>
  </si>
  <si>
    <t>La experiencia me dice que las lecciónes que no se aprenden con sangre, se olvidan pronto///// Al estílo de Von Clausewitz esto va a ser una puta guerra</t>
  </si>
  <si>
    <t>Que dicen las 💩💩💩💩 de la Secta @laSextaTV @AlRojoVivo @DebatAlRojoVivo @AntonioMaestre @jordievole @susanadiaz @sanchezcastejon @Pablo_Iglesias_ @pnique que VOX es xenófobo y racista. ¡Gracias por hacerles la campaña gratis, mermaos! 🤣🤣🤣🤣🤣🤣🤣🤣</t>
  </si>
  <si>
    <t>https://pbs.twimg.com/media/Dt0qyioXcAEDGUn.jpg</t>
  </si>
  <si>
    <t>flapa</t>
  </si>
  <si>
    <t>¿Habéis leído la impresionante carta que Santiago Abascal ha escrito a Pablo Iglesias? Está consiguiendo que me lo replantee todo...</t>
  </si>
  <si>
    <t>https://pbs.twimg.com/media/Dt46UAWW0AAuAel.jpg</t>
  </si>
  <si>
    <t>Andalucía</t>
  </si>
  <si>
    <t>Eramos un blog de humor con contenido propio: sketchs, viñetas y marionetas. Nos dieron un premio porque no hay criterio en Internet. La misma mierda aquí.</t>
  </si>
  <si>
    <t>http://www.flapa.es</t>
  </si>
  <si>
    <t>djresabcn</t>
  </si>
  <si>
    <t>Me ha gustado un vídeo de @YouTube ( - Vaya REPASO de WALTER GARCÍA a PABLO IGLESIAS: "Tranquilo Pablito, que</t>
  </si>
  <si>
    <t>http://youtu.be/JCGOEUOqveQ?a</t>
  </si>
  <si>
    <t>Igualdad o Equidad</t>
  </si>
  <si>
    <t>Va a ser que de la noche a la mañana.... está apareciendo mucho facha devtoda ideología...@Pablo_Iglesias_ haz caso por favor a @ierrejon que si no lo haces, junto con @sanchezcastejon , haces un UCD RT @MediterraneoDGT: 🇪🇸 ¡Increíble! Se colapsa el sistema de afiliación de VOX [@vox_es] tras la avalancha de peticiones</t>
  </si>
  <si>
    <t>barcelona</t>
  </si>
  <si>
    <t>dj deejay &amp; creative electronic music , techno&amp;deep techno . news songs and new styles. one hugg for all.</t>
  </si>
  <si>
    <t>https://soundcloud.com/djsergioresa</t>
  </si>
  <si>
    <t>https://twitter.com/mediterraneodgt/status/1071050344015323137
https://www.mediterraneodigital.com/espana/mundo/increible-se-colapsa-el-sistema-de-afiliacion-de-vox-tras-la-avalancha-de-peticiones.html</t>
  </si>
  <si>
    <t>En busca de una sociedad responsable, coherente y mejor; recuperando valores y justicia para todos. Derechos y también obligaciones.</t>
  </si>
  <si>
    <t>YOvs.SOCIALISMOS</t>
  </si>
  <si>
    <t>Alguien sabe si @MRE_Bolivia ya le organizó a @evoespueblo #EvoDictador alguna reunión el domingo por la mañana con @sanchezcastejon o @Pablo_Iglesias_ y así de paso se va a ver el partido #CopaLibertadores #Boca-#River en #SantiagoBernabeu</t>
  </si>
  <si>
    <t>https://pbs.twimg.com/media/Dt0rOA7XcAAHqnZ.jpg</t>
  </si>
  <si>
    <t>Vicent Bol i Touchè</t>
  </si>
  <si>
    <t>Si tengo que escoger entre Pablo Iglesias y Felipe VI, qué quereis que is diga ... RT @CiudadanosCs: 👉 La amenaza del nacionalismo y populismo es una oportunidad para que volvamos a poner por delante el proyecto común. 📽 Así lo explicó @Albert_Rivera durante al acto de Cs #40añosDeConstitución celebrado en el Liceu de Barcelona</t>
  </si>
  <si>
    <t>https://twitter.com/CiudadanosCs/status/1071108876370616322</t>
  </si>
  <si>
    <t>Santa Cruz de la Sierra</t>
  </si>
  <si>
    <t>pic.twitter.com/unRiKIbynu</t>
  </si>
  <si>
    <t>APRENDIZ DE POETA/AMANTE DE LA DEMOCRACIA Y LA LIBERTAD/ FANATICO DE LA AMISTAD/ ENEMIGO DEL COMUNISMO!</t>
  </si>
  <si>
    <t>http://libertadperdida.fullblog.com.ar/topico/General/</t>
  </si>
  <si>
    <t>Homowifi. Sigo a Dios y a Satanás para conocer las dos versiones.</t>
  </si>
  <si>
    <t>Jesus Muñoz Malostratosfalsos.com</t>
  </si>
  <si>
    <t>https://okdiario.com/espana/2018/12/07/iglesias-da-razon-abascal-derecho-portar-armas-bases-democracia-3438627?utm_campaign=ok&amp;utm_medium=Social&amp;utm_source=Twitter#Echobox=1544187698</t>
  </si>
  <si>
    <t>Agradezco a familia y amigos ayudarme contra ex diabólica que uso la LIVG espuriamente con 7 denuncias falsas. Prisión para la ideologa Cruz Sánchez de Lara</t>
  </si>
  <si>
    <t>http://www.malostratosfalsos.com</t>
  </si>
  <si>
    <t>JOSE MANUEL DIEGUEZ</t>
  </si>
  <si>
    <t>La desesperación y la manipulación de las hordas podemitas y de la extrema izquierda llega a montajes tan burdos como estos. Intentan etiquetar a @Santi_ABASCAL y los votantes de @vox_es como nostálgicos del franquismo. Seguid así con vuestras mentiras,obedeced @Pablo_Iglesias_</t>
  </si>
  <si>
    <t>Pachi RUIZ</t>
  </si>
  <si>
    <t>https://pbs.twimg.com/media/Dt0pLl8XQAABysq.jpg</t>
  </si>
  <si>
    <t>CEUTA</t>
  </si>
  <si>
    <t>CONSTANTE</t>
  </si>
  <si>
    <t>“Los idéales son pacíficos, la historía es violenta” Licenciado en Teología y Filosofía.</t>
  </si>
  <si>
    <t>Más comentados ahora en Derecha/Centro Dcha.: ➀ @sanchezcastejon ↑ ➁ @rosadiezglez ↓ ➂ @vox_es ↓ ➃ @libertaddigital ↓ ➄ @DaniPintoB ↑ ➅ @Dianalvarez4 ↓ ➆ @PPopular ↓ ➇ @ahorapodemos ↑ ➈ @Pablo_Iglesias_ ↑</t>
  </si>
  <si>
    <t>Hugo Socorro</t>
  </si>
  <si>
    <t>Bertrand Russell: El problema en el mundo es que los estúpidos están seguros de sí, mientras los inteligentes están llenos de dudas.</t>
  </si>
  <si>
    <t>Endesenfilada</t>
  </si>
  <si>
    <t>http://page.is/hugo-0</t>
  </si>
  <si>
    <t>"El Gobierno pagará la universidad a los estudiantes marroquíes" según informa @MediterraneoDGT Puede desmentir alguien esto @Pablo_Iglesias_ o @sanchezcastejon?  vía @MediterraneoDGT</t>
  </si>
  <si>
    <t>https://www.mediterraneodigital.com/espana/internacional/el-gobierno-pagara-la-universidad-a-los-estudiantes-marroquies.html</t>
  </si>
  <si>
    <t>Atónito</t>
  </si>
  <si>
    <t>Y lo más inquietante de todo: ¿Por que una diputada de @ahorapodemos se ve obligada a grabar privadamente un video en YouTube para denunciar este pacto de silencio? ¿Algo que decir @Pablo_Iglesias_ ? RT @Marta_Sibina: Soy diputada en el Congreso y necesito ayuda. Ante el pacto de silencio la única arma que me queda es grabar este vídeo con la esperanza de que llegue al máximo de personas posible.</t>
  </si>
  <si>
    <t>Catatonia</t>
  </si>
  <si>
    <t>vabbèchevabbèmachedavverodavvero!?</t>
  </si>
  <si>
    <t>Lis Salander 🇪🇸💚#VOX voter💚</t>
  </si>
  <si>
    <t>De casta le viene a la rata podemita @Pablo_Iglesias_ Que haya gente que aún crea que este leninista-chavista discípulo de Irán pueda traernos, mínimamente, algo de prosperidad, libertad y justicia social es lamentable, Y MUCHO.</t>
  </si>
  <si>
    <t>el azote de ls corru</t>
  </si>
  <si>
    <t>https://pbs.twimg.com/media/Dt0nzicW4AA7hZD.jpg</t>
  </si>
  <si>
    <t>Comunidad Valenciana, ESPAÑA</t>
  </si>
  <si>
    <t>*Español, English, Français, Deutsch. #TommyRobinson &amp; #Trump fan. #ISLAM out of Europe! Anti-Podemos-PSOE-Separatas y demás chusma que no puede con #ESPAÑA</t>
  </si>
  <si>
    <t>Política y Gobierno Nuevos talentos</t>
  </si>
  <si>
    <t>Alberto Ruiz</t>
  </si>
  <si>
    <t>Sr. @pnique aquí su jefe @Pablo_Iglesias_ defendiendo que portar armas es un derecho plenamente democrático. Lo digo para que deje de decir tonterías de borracho de tertulia de tasca cada vez que le ponen un micro delante de @laSextaTV.</t>
  </si>
  <si>
    <t>https://youtu.be/3RkLe1Z7hp4</t>
  </si>
  <si>
    <t>La Follonera del Mar Menor</t>
  </si>
  <si>
    <t>L'Hospitalet de Llobregat</t>
  </si>
  <si>
    <t>Hospitalenc, Català i Espanyol. CAT sóm terra plural i diversa, i no una massa aborregada de pensament únic secessionista. De centre liberal, m'agraden molt les</t>
  </si>
  <si>
    <t>Es que veo a @Pablo_Iglesias_ y me parece un indigente. Lávese,peínese y vistase un poco mejor,por Dios!! RT @RIVAS_Llanera: 📽 @Pablo_Iglesias_ califica a @vox_es como la corriente FRANQUISTA del @PPopular y a su líder @Santi_ABASCAL como un corrupto, bajo la Protección de @EsperanzAguirre 🔴 PREGUNTA ⁉️ ¿ Qué es @ahorapodemos y su líder ? @Pablo_Iglesias_ en Espejo Público.</t>
  </si>
  <si>
    <t>Mar Menor</t>
  </si>
  <si>
    <t>Profesora interina hasta el final y más allá.Madre soltera,hija de Rojos y a mucha honra.</t>
  </si>
  <si>
    <t>El voto en Venezuela, como en cualquier país comunista, no tienen ningún valor, ya que está secuestrado por los secuaces del dictador fascista Maduro, del cual está tan orgulloso el chepa de la coleta y gañote prominente de @pablo_iglesias_, el hijo de puta de ESpaña. RT @eugeniaperret: Me resulta inexplicable que después de 20 años de destrucción chavista, los venezolanos no tengamos idea del valor que tiene el voto, ni de la participación y del éxito probable de estas acciones si votamos masivamente.</t>
  </si>
  <si>
    <t>https://twitter.com/eugeniaperret/status/1071051158767194112</t>
  </si>
  <si>
    <t>@maridq</t>
  </si>
  <si>
    <t>Despejando dudas: Un legítimo gobierno hubiese dado órdenes ya de detención de @Pablo_Iglesias_ y el no electo @QuimTorraiPla .Repito un legítimo gobierno j</t>
  </si>
  <si>
    <t>http://chng.it/Z4gs5kLF</t>
  </si>
  <si>
    <t>ÜT: 40.714269,-74.005972</t>
  </si>
  <si>
    <t>Blem</t>
  </si>
  <si>
    <t>Pablo Iglesias es el gran enemigo de la democracia española. Desde que se volvió a instaurar la monarquía jamás había llegado a los círculos de poder un personaje tan dañino. ⁦@ahorapodemos⁩ ⁦@Pablo_Iglesias_⁩ ⁦@PtfLaSilenciosa⁩</t>
  </si>
  <si>
    <t>FRANCISCO ASIS JOSE</t>
  </si>
  <si>
    <t>Santiago Abascal: 'Deseamos que Pablo Iglesias siga insultándonos todos los días'</t>
  </si>
  <si>
    <t>Chicago, IL</t>
  </si>
  <si>
    <t>No todo vale en política. Estaré muy al tanto de las arbitrariedades de los políticos #nonoscallaran</t>
  </si>
  <si>
    <t>https://www.youtube.com/watch?v=ICi8x1lwVD4</t>
  </si>
  <si>
    <t>Tarragona, España</t>
  </si>
  <si>
    <t>Rufianada Tudei</t>
  </si>
  <si>
    <t>UNIVERSITARIO DIPLOMADO GRADUADO SOCIAL</t>
  </si>
  <si>
    <t>Hola @Pablo_Iglesias_ ¿Sabes si en la web de @ahorapodemos habéis colgado la factura del encargo del logo este? No vaya a ser que @eduardoinda publique algo al respecto en @okdiario que no te guste RT @vistoenlasredes: podemos se marca un logo repúblicano comprando un logo que iba destinado a una peluquería, por @jmdelalamo</t>
  </si>
  <si>
    <t>https://twitter.com/vistoenlasredes/status/1071049481737682944
https://www.vistoenlasredes.com/twitter/podemos-se-marca-un-logo-republicano-que-ha-comprado-en-un-stock-de-imagen-por-jmdelalamo</t>
  </si>
  <si>
    <t>https://pbs.twimg.com/media/Dt0h03pXcAISrUj.jpg</t>
  </si>
  <si>
    <t>En alguna parte</t>
  </si>
  <si>
    <t>Cuñao no electo</t>
  </si>
  <si>
    <t>Gaomat</t>
  </si>
  <si>
    <t>Aquí les presento al "valiente" que quiere salir a la calle a cazar fachas, tal como le indica su líder supremo @Pablo_Iglesias_ Su comida favorita es la hamburguesa, nada mas que añadir ¿ @policia algo que decir o hacer ?</t>
  </si>
  <si>
    <t>https://pbs.twimg.com/media/Dt0j0h_WsAAFRc1.jpg</t>
  </si>
  <si>
    <t>🇪🇸El #VotoUtil es @vox_es 🐸</t>
  </si>
  <si>
    <t>Miriam Hispania 🇪🇸 ~ Tabarnia 🇬🇬</t>
  </si>
  <si>
    <t>Negro, catalán y directivo de VOX ??..... Pero cómo es posible si la Izquierda Stalinista de Pablo Iglesias y el PSOE dicen que en VOX son HOMÓFOBOS Y RACISTAS.....?</t>
  </si>
  <si>
    <t>http://www.defenemvalencia.es
https://www.elconfidencial.com/espana/2018-08-24/negro-catalan-y-directivo-de-vox_1607218/</t>
  </si>
  <si>
    <t>Si es que eres un MENTIROSO @Pablo_Iglesias_ RT @pacogcaridad: 😂😂😂</t>
  </si>
  <si>
    <t>Reino de España</t>
  </si>
  <si>
    <t>#FreeTabarnia #Freedom #Independencia #ByeCatalonia ▶️ Love moves the world 💞◀️</t>
  </si>
  <si>
    <t>https://twitter.com/pacogcaridad/status/1070778691205128192
https://twitter.com/Bcnisnotcat_/status/1070375084420988929</t>
  </si>
  <si>
    <t>Antorcha</t>
  </si>
  <si>
    <t>Osea que según el torrao los CDR quieren matar a la gente y hay que dejarlos... Me pregunto por qué no lo detienen a el y a todos los suyos? Por qué no detienen también a Pablo Iglesias? No seáis ilusos, están buscando muertos en las calles y estamos dormidos ante esto... .</t>
  </si>
  <si>
    <t>FIONNA777</t>
  </si>
  <si>
    <t>Ada Colau instala caracolas prefabricadas sobre edificios, como casas para gente sin recursos Es la manera d acabar con los pobres: se achicharrarán vivos en pocos meses o morirán de hambre para pagar el aire acondicionado @AdaColau @PSOE @PPopular @CiudadanosCs @Pablo_Iglesias_</t>
  </si>
  <si>
    <t>https://pbs.twimg.com/media/Dt0jvJzWsAA4x_4.jpg</t>
  </si>
  <si>
    <t>en un lugar de la mancha.....</t>
  </si>
  <si>
    <t>corred insensatos, corred. a partir de ahora todos mis twits se acojen a la libertad de expresión. esa que permite quemar las fotos del rey ycelebrar asesinatos</t>
  </si>
  <si>
    <t>abstenerse quienes señalan con el dedo, dando lecciones de ética y moral</t>
  </si>
  <si>
    <t>https://pbs.twimg.com/media/Dt0jRbtXQAEuLuA.png</t>
  </si>
  <si>
    <t>José Manuel Quesada</t>
  </si>
  <si>
    <t>Ojo, que @ierrejon_ puede meterse en un lío con su líder supremo. Pablo Iglesias: "Yo no puedo usar la bandera rojigualda"  RT @elespanolcom: Errejón rescatará la bandera española para Podemos: "Lo veo en Francia y me da envidia, yo quiero eso"</t>
  </si>
  <si>
    <t>http://youtu.be/frUjZ4XX7VI
https://twitter.com/elespanolcom/status/1071308396337352706
https://www.elespanol.com/espana/politica/20181208/errejon-recuperara-bandera-espanola-podemos-francia-envidia/358965067_0.html</t>
  </si>
  <si>
    <t>https://pbs.twimg.com/media/Dt4FW19X4AEDsJz.jpg</t>
  </si>
  <si>
    <t>@HOPE44313551</t>
  </si>
  <si>
    <t>Cuanta razón tenia este Señor Verdad @QuimTorraiPla @Pablo_Iglesias_ RT @perezreverte: "Frente a una multitud analfabeta o con escasa cultura, un tirano, pero también un revolucionario, pueden lograr resultados sorprendentes. Se encuentran ante una masa homogénea que se dejará mover con sólo una palanca". (Ernst Jünger)</t>
  </si>
  <si>
    <t>Madrid y Málaga</t>
  </si>
  <si>
    <t>Ya es suficiente. Echad las cortinas.</t>
  </si>
  <si>
    <t>A quoi bon chercher notre bonheur dans l'opinion d'autrui ,si nous pouvons le trouver en nous même. JJ Rousseau.</t>
  </si>
  <si>
    <t>Carlos Jesús</t>
  </si>
  <si>
    <t>Porque @Pablo_Iglesias_ lo vale. RT @ldpsincomplejos: Porque yo lo valgo</t>
  </si>
  <si>
    <t>https://twitter.com/ldpsincomplejos/status/1070743671836958721</t>
  </si>
  <si>
    <t>Bogui</t>
  </si>
  <si>
    <t>https://pbs.twimg.com/media/DtwLp_iWwAAyJTq.jpg</t>
  </si>
  <si>
    <t>¡Qué cosas escribe el rector? Solo el titulo del "artículo" le define. Lo podría haber titulado "Todo el mundo es fascista menos si eres de Podemos o independentista". Carta al tipo que mandó una carta a Pablo Iglesias - Público</t>
  </si>
  <si>
    <t>🇪🇸 Español con más de ocho apellidos tabarneses y, para que no haya dudas, muy facha!!!</t>
  </si>
  <si>
    <t>Pablo Iglesias @Pablo_Iglesias_: "...quizá la monarquía sea una rémora del pasado, de una institución asociada a la corrupción que la España democrática del futuro no se puede permitir..."  #FelizFinde</t>
  </si>
  <si>
    <t>pic.twitter.com/05miJEHRLE</t>
  </si>
  <si>
    <t>Gonzalo</t>
  </si>
  <si>
    <t>Podemos es muy viejo, representa lo más viejo de Europa el comunismo asesino y revanchistapunto Aderezado del comunismo chavista en la persona de Pablo Echenique y Pablo Iglesias. Sois muy peligrosos y hay que echarlos de las instituciones RT @pnique: Vox no es nada nuevo. Es la pata más franquista, racista y machista del viejo proyecto de Aznar. Un proyecto, por cierto, que tiene como eje fundamental la subordinación de España a los intereses de EEUU. PP, C's y Vox, los patriotas de cartón-piedra. 🇺🇸</t>
  </si>
  <si>
    <t>Madrid ESPAÑA</t>
  </si>
  <si>
    <t>En el diván de la coherencia y el hastío, observando nuestra historia. Orgulloso de ser español,🇪🇸🇪🇸 y enemigo del Populismo</t>
  </si>
  <si>
    <t>Tom Ojeda</t>
  </si>
  <si>
    <t>Esto es lo q piensa el pueblo de ti @Pablo_Iglesias_ te tenemos calado RT @yolalco: Confirmado lo que todos sospechábamos... Pablo Iglesias es un dictadorzuelo disfrazado de democrata. Le importa una mierda lo que elija el pueblo, el quiere mandar e imponer sus ideas y lo demás se la sopla. Ya se ha visto el lobo debajo de la piel de cordero.</t>
  </si>
  <si>
    <t>https://twitter.com/yolalco/status/1070256820206342144</t>
  </si>
  <si>
    <t>Defenem Valencia</t>
  </si>
  <si>
    <t>Negro, catalán y directivo de VOX ??..... Pero como es posible si la Izquierda Stalinista De pablo Iglesias y el Psoe dicen que ¡¡VOX!! son HOMOFOBOS Y RACISTAS.....</t>
  </si>
  <si>
    <t>http://www.defenemvalencia.es</t>
  </si>
  <si>
    <t>iker casas lara✌️✌️</t>
  </si>
  <si>
    <t>@Pablo_Iglesias_ me puede usted aclarar o decir a que se refiere con este video... Es por aclararme un poco.</t>
  </si>
  <si>
    <t>https://www.facebook.com/100008971366159/posts/1933070767001950/</t>
  </si>
  <si>
    <t>Español, hincha incondicional de la real sociedad, amante del buen comer y del deporte en general!✌️</t>
  </si>
  <si>
    <t>NIKITA.NIPONGO</t>
  </si>
  <si>
    <t>Repugnante... @JavierArocaA comparando un Asesino condenado por la #MatanzaAtocha con @vox_es. Ese mismo que acepta cuando @gabrielrufian abraza a @ArnaldoOtegi, o @Pablo_Iglesias_ con los agresores de #Alsasua, o @ehbildu mandando al Zulo a @OrtegaLara. Personaje...</t>
  </si>
  <si>
    <t>Kuala Kuantan, Pahang</t>
  </si>
  <si>
    <t>ANTROPÓLOGO, CULTIVADOR DE PODEMITAS, LIENDRES Y OTROS PARÁSITOS..</t>
  </si>
  <si>
    <t>PODEMos Pineda de Mar</t>
  </si>
  <si>
    <t>Así modeló el ser humano el Sáhara: de vergel a desierto y nos enseña la necesidad de recuperar vegetación incluso en tejados @UEmadrid @CasaReal @sanchezcastejon @pablocasado_ @Pablo_Iglesias_ @Albert_Rivera  vía @elespanolcom</t>
  </si>
  <si>
    <t>https://www.elespanol.com/ciencia/ecologia/20170316/201230003_0.html</t>
  </si>
  <si>
    <t>Francisco J. Domingo</t>
  </si>
  <si>
    <t>¿Va a demoler Pablo Iglesias el muro de su casa y va a retirar los policías y guardias civiles que la protegen de los inmigrantes que quieren instalarse allí? o eso ya no mola RT @iescolar: ¿El fin de las concertinas? Interior anuncia que empezará a retirar las cuchillas de las vallas de Ceuta y Melilla a principios de año</t>
  </si>
  <si>
    <t>https://twitter.com/iescolar/status/1071015484282322944
https://www.eldiario.es/desalambre/Interior-comenzara-cuchillas-Ceuta-Melilla_0_843765795.html</t>
  </si>
  <si>
    <t>Mencía13</t>
  </si>
  <si>
    <t>Se han retratado ellos solos sí, Alerta fascista declara @Pablo_Iglesias_, dejando claro su extremismo, o conmigo o contra mí. Seguir siendo un ejemplo para estos radicales @vox_es RT @situacionesdifi: Pues mira nosotros los llamados fachas de @vox_es no hacemos esas cosas, eso lo dejamos a los de extrema izquierda y hay que empezar a llamarles así a los de @ahorapodemos</t>
  </si>
  <si>
    <t>Periodistas</t>
  </si>
  <si>
    <t>https://twitter.com/situacionesdifi/status/1071046497574117376
https://twitter.com/mcargarin13/status/1071007045258743810</t>
  </si>
  <si>
    <t>susana de la guardia</t>
  </si>
  <si>
    <t>Me ha gustado un vídeo de @YouTube ( - Protestas contra VOX en Andalucía - Pablo Iglesias y Soldado Cebolleta</t>
  </si>
  <si>
    <t>http://youtu.be/3eLKQ-zSPsk?a</t>
  </si>
  <si>
    <t>No comprendo q PLACER puede obtener un HOMBRE o una MUJER q VIOLE a OTRO SER HUMANO,la VIOLENCIA MATA PLACER SEXUAL X MI,pero quizas sea por mi EDUCACION FEMINISTA DE MI MADRE Æ @CasaReal @EMADmde @Defensagob @CIA @pnique @pablocasado_ @Pablo_Iglesias_ @sorayasds @stefaniec1971 Æ</t>
  </si>
  <si>
    <t>España. Islas Canarias</t>
  </si>
  <si>
    <t>@ComisionCiudadana.eu</t>
  </si>
  <si>
    <t>Sr.@Pablo_Iglesias_ ¿quien le paga a Vd, su sueldo?¿ Con que dinero compra los pañales de sus hijos? ¿Con que dinero paga su hipoteca? RT @Pablo_Iglesias_: Dice Pablo Casado que bloqueará cualquier intento de reformar la Constitución. Lo sentencia antes de escuchar propuesta alguna. Lo hace convencido de que nadie recordará cómo reformaron la Constitución en 2011, en agosto, sin debate público ni referéndum. #40AñosdeConstitución</t>
  </si>
  <si>
    <t>https://twitter.com/Pablo_Iglesias_/status/1070706854165168128</t>
  </si>
  <si>
    <t>https://pbs.twimg.com/media/DtvjNk4W4AA7gVr.jpg</t>
  </si>
  <si>
    <t>Marisa Rial</t>
  </si>
  <si>
    <t>La Constitución española, representa el ordenamiento jurisdiccional constitucional, dentro del cual se ampara las obligaciones y deberes de los conciudadanos.</t>
  </si>
  <si>
    <t>http://comisionciudadana.eu/</t>
  </si>
  <si>
    <t>🍅</t>
  </si>
  <si>
    <t>Ya está actuando la EXTREMA IZQUIERDA. Qué fue lo que dijo @Pablo_Iglesias_ ? ASCO RT @ldpsincomplejos: Agresión a miembros de Vox en Lorca:</t>
  </si>
  <si>
    <t>https://twitter.com/ldpsincomplejos/status/1070997662252568576
https://www.laverdad.es/murcia/miembros-denuncian-haber-20181207005415-ntvo.html</t>
  </si>
  <si>
    <t>MOAI SOLDIER</t>
  </si>
  <si>
    <t>Oye, @sanchezcastejon @Pablo_Iglesias_ @pablocasado_ @Albert_Rivera @Santi_ABASCAL , cuando terminéis este teatrillo podríais hacernos el favor de solucionar nuestros problemas ?, De nada, es q a veces se os olvida para q os pagamos.</t>
  </si>
  <si>
    <t>Francisco JF Tarrío</t>
  </si>
  <si>
    <t>Resulta patéticamente evidente la técnica de “poli bueno” de Errejón para blanquear el odio a España de Podemos. Este chico tiene los mismos fines que Pablo Iglesias (cargarse España como nación) pero trata de engañar más sutilmente. Es un político “anzuelo” #NoCuela</t>
  </si>
  <si>
    <t>Music Producer</t>
  </si>
  <si>
    <t>La #Coruña #España 🇪🇸</t>
  </si>
  <si>
    <t>Abogado @tarrioabogados Liberal. Los españoles somos propietarios de nuestra Libertad, no inquilinos. #LET @poderlimitado #ElRincónDePensar en @galiciaesradio</t>
  </si>
  <si>
    <t>#sosprisiones #TuabandonoMePuedeMatar #funcionariosdeprisiones @interiorgob @Pablo_Iglesias_ @pablocasado_ @DefensorPuebloE @Albert_Rivera @COPE y que nos dejen trabajar y dejen de ponernos en el punto de mira y confíen en un colectivo que es superprofesional RT @JavierCenit: Sra @susannagriso preguntaba al compañero agredido en @EspejoPublico que qué necesitamos para trabajar con dignidad Uniforme adecuado Medios coercitivos Más funcionarios por módulos Formación Concursos anuales Dignidad salarial y laboral Agentes autoridad Etc @SOS_Prisiones_</t>
  </si>
  <si>
    <t>https://twitter.com/JavierCenit/status/1067373399809376257</t>
  </si>
  <si>
    <t>Disidente de Tabarnia. ☢</t>
  </si>
  <si>
    <t>A veces llegan cartas....</t>
  </si>
  <si>
    <t>Silvestre Tornasol</t>
  </si>
  <si>
    <t>Muchas gracias “chepas” @Pablo_Iglesias_ pero no, porque si le das tanto aire es porque será otro gilipollas de tu rebaño con la misma peste a tu muladar comunista RT @Pablo_Iglesias_: Esta semana he tenido la oportunidad de charlar con el actor Tristán Ulloa en Otra Vuelta de Tuerka. Podréis ver el programa completo a las 18h. Aquí va un adelanto 👇🏽</t>
  </si>
  <si>
    <t>Huelva, ESPAÑA</t>
  </si>
  <si>
    <t>Catalana en Andalucía. Sesentona, rebelde, adicta a la vida y a superar obstáculos. Espíritu libre y libertario. EN LUCHA POR LO QUE CREO.</t>
  </si>
  <si>
    <t>https://twitter.com/pablo_iglesias_/status/1071040955615195136</t>
  </si>
  <si>
    <t>pic.twitter.com/Zw2IMFzV8Z</t>
  </si>
  <si>
    <t>Eimar Karabali</t>
  </si>
  <si>
    <t>Inventando en Moulinsart</t>
  </si>
  <si>
    <t>Zaragoza, spain</t>
  </si>
  <si>
    <t>el dueño e'la clave!</t>
  </si>
  <si>
    <t>Lauren</t>
  </si>
  <si>
    <t>🤔🙄😁Los foros de la militancia de Podemos arden contra Pablo Iglesias: "Pablo, cállate y haz autocrítica"</t>
  </si>
  <si>
    <t>Andress Mca</t>
  </si>
  <si>
    <t>Cuánto cuesta la broma futbolera argentina ? Quién o quienes son los responsables, si algo falla ? @el_pais @LaVanguardia @laSextaTV @tjcope @Pablo_Iglesias_ @JugoneslaSexta @MVTARDE</t>
  </si>
  <si>
    <t>https://okdiario.com/espana/2018/12/05/foros-militancia-podemos-arden-contra-iglesias-pablo-callate-haz-autocritica-3427399#.XAua4IRVbjc.twitter</t>
  </si>
  <si>
    <t>Cegata y sorda 🙃</t>
  </si>
  <si>
    <t>Salou, España</t>
  </si>
  <si>
    <t>Andreas Corelli</t>
  </si>
  <si>
    <t>Un motivo incuestionable para votarle:Bertín Osborne: "A Pablo Iglesias no le voto ni muerto, ni harto de vino"  vía @elmundoes</t>
  </si>
  <si>
    <t>abstenerse borregos</t>
  </si>
  <si>
    <t>Los podemista se han creído, se creen y se creerán eso de que la lucha obrera es del pueblo.... y lo otro de la lucha de clases... mientras el nuevo rico @Pablo_Iglesias_ les enseña a cómo ser obrero desde su mansión.... jojojo RT @HispanoVisigoda: Este tuit va dirigido a los jóvenes y jóvenas de España: Desde aquí, ver fotos, se dirigen los discursos a las hordas comunistas, nazionalistas y anarquistas de nuestro país. Nota. Hay que ser tonto y tonta para seguir la corriente de este millonario comunista.</t>
  </si>
  <si>
    <t>https://twitter.com/hispanovisigoda/status/1070637285853540352</t>
  </si>
  <si>
    <t>https://pbs.twimg.com/media/Dtuq4NyWwAA4MTs.jpg</t>
  </si>
  <si>
    <t>Viejo taurino</t>
  </si>
  <si>
    <t>José Manuel D.R.</t>
  </si>
  <si>
    <t>93º aniversario del fallecimiento de Pablo Iglesias Posse, fundador del PSOE y de la UGT. .@PSOE .@UGT_Comunica .@PSOEmalaga .@ugtmalaga .@UGTCanarias .@PSOECanarias .@psoelpgc .@psoegc</t>
  </si>
  <si>
    <t>Sigue así tontito @Pablo_Iglesias_ verás lo q t pasa a ti y a tu partido comunista dictador de ultra izda, te va pasar una pisonadora por encima, sigue haciéndoles cAmpaña 🤣🤣🤣🤣 RT @RIVAS_Llanera: 📽 @Pablo_Iglesias_ califica a @vox_es como la corriente FRANQUISTA del @PPopular y a su líder @Santi_ABASCAL como un corrupto, bajo la Protección de @EsperanzAguirre 🔴 PREGUNTA ⁉️ ¿ Qué es @ahorapodemos y su líder ? @Pablo_Iglesias_ en Espejo Público.</t>
  </si>
  <si>
    <t>https://pbs.twimg.com/media/Dt4w-vVWoAAk7bZ.jpg</t>
  </si>
  <si>
    <t>#Socialista, #Ugetista, #Fotografía, #Madridista, #eb8cxw, Licenciado en Derecho, y ex Profesor. Madrileño en Gran Canaria,</t>
  </si>
  <si>
    <t>Torero de vocacion y de corazon,una vida entera ligada al mundo del toro, de izquierdas hasta que me hicieron de derechas los actuales “políticos de izquierdas”</t>
  </si>
  <si>
    <t>dolores castillo carvajal</t>
  </si>
  <si>
    <t>Pablo Iglesias cual es tu plan? Ya estamos hartos de pagar y pagar a gentes sin carreras metidos en la política y mala , si fueran bueno? Pero y podemos que, ya estoy harta de seguirte toda la familia los desahucios no paran no tenemos trabajo asta cuando? RT @MorenoG_Agustin: Qué clarito que tiene @Pablo_Iglesias_ quién es Vox: No son nuevos, vienen del PP: son una corriente aznarista y de Esperanza Aguirre; son el PP sin complejos: Son la corriente franquista del Partido Popular.</t>
  </si>
  <si>
    <t>katy🇪🇸🇪🇸 Olé💃💃 mi España.</t>
  </si>
  <si>
    <t>Iglesias da la razón a Abascal: "El derecho a portar armas es una de las bases de la democracia" @Pablo_Iglesias_🐭 a ti se te ha ido la olla. ves pensando que las próximas elecciones tú vas a la p***💩 vete de España🤡🤡</t>
  </si>
  <si>
    <t>Los Palacios y Villafranca, España</t>
  </si>
  <si>
    <t>https://okdiario.com/espana/2018/12/07/iglesias-da-razon-abascal-derecho-portar-armas-bases-democracia-3438627#.XAp-sWJbMfA.twitter</t>
  </si>
  <si>
    <t>Benidorm, España</t>
  </si>
  <si>
    <t>adoro la vida🦋 amo a las personas! y no aguanto la gentuza.. 🦋🌹🌷🌞💞💞 si me hablas mal o me insultas te reporto..🦄🐩🐕🕊🐣</t>
  </si>
  <si>
    <t>Eduardo Inda</t>
  </si>
  <si>
    <t>.@Pablo_Iglesias_ da la razón a @Santi_ABASCAL: “El derecho a portar armas es una de las bases de la democracia”</t>
  </si>
  <si>
    <t>Carta a Pablo Iglesias: A cagar a Galapagar, el fascista eres tú - Rambla Libre</t>
  </si>
  <si>
    <t>https://okdiario.com/espana/2018/12/07/iglesias-da-razon-abascal-derecho-portar-armas-bases-democracia-3438627?utm_campaign=inda&amp;utm_medium=Social&amp;utm_source=Twitter#Echobox=1544187530</t>
  </si>
  <si>
    <t>http://ramblalibre.com/2018/12/03/carta-a-pablo-iglesias-a-cagar-a-galapagar-el-fascista-eres-tu/#.XAuZBuXj6MZ.twitter</t>
  </si>
  <si>
    <t>Director de @OKDIARIO</t>
  </si>
  <si>
    <t>https://www.facebook.com/indaok/</t>
  </si>
  <si>
    <t>Max Powell</t>
  </si>
  <si>
    <t>Carta al tipo que mandó una carta a Pablo Iglesias - Público Los “verdaderos demócratas” atacan a los fascistas y no a los jóvenes antifascistas como Pablo Iglesias.</t>
  </si>
  <si>
    <t>Manuel Reiz</t>
  </si>
  <si>
    <t>Creo que para acabar de una vez por todas con el rancio comunismo de @ahorapodemos lo mejor es dejar hablar a @Pablo_Iglesias_ y a @pnique .</t>
  </si>
  <si>
    <t>La manera cómo se presentan las cosas no es la manera como son; y si las cosas fueran como se presentan la ciencia entera sobraría.</t>
  </si>
  <si>
    <t>pic.twitter.com/49DA1Ohzae</t>
  </si>
  <si>
    <t>Hombre Blanco, Occidental, Heterosexual y Madridista...lo peor de lo peor.</t>
  </si>
  <si>
    <t>Jevi Rivas</t>
  </si>
  <si>
    <t>Otra Vuelta de Tuerka - Pablo Iglesias con Xosé Manuel Beiras (programa completo)</t>
  </si>
  <si>
    <t>https://www.youtube.com/attribution_link?a=FmBn_Kh2jJs&amp;u=%2Fwatch%3Fv%3DWxVrmB5IsVU%26feature%3Dshare</t>
  </si>
  <si>
    <t>Alexis Wolf</t>
  </si>
  <si>
    <t>Quién vota a ciegas y por impulso a saqueadores es responsable de la ruina del país. @Pablo_Iglesias_ es referente de honestidad</t>
  </si>
  <si>
    <t>Capitalismo: sistema económico por el cual los robots van a ser nuestra competencia, en vez de nuestra liberación laboral. Más heavy que una lluvia de hachas..</t>
  </si>
  <si>
    <t>pic.twitter.com/oI20BPKtKf</t>
  </si>
  <si>
    <t>Getafe, España</t>
  </si>
  <si>
    <t>Los conflictos en los grupos humanos diversos enriquecen, tarea líder es unir en la diversidad.Al final del camino de piedras...Nuevos horizontes.PODEMOS.😊</t>
  </si>
  <si>
    <t>JOSE LUIS PEREZ</t>
  </si>
  <si>
    <t>Abascal vapulea a Iglesias: "La Monarquía sirve para que alguien como tú no alcance la jefatura del Estado"</t>
  </si>
  <si>
    <t>Perroflautas Dolores</t>
  </si>
  <si>
    <t>CARTA DE SANTIAGO ABASCAL, PRESIDENTE DE VOX, A PABLO IGLESIAS @pablo_iglesias_ de #podemos Pablo, permite que me ahorre lo de "estimado", más que nada porque me gusta decir la verdad siempre. El caso es...</t>
  </si>
  <si>
    <t>https://casoaislado.com/abascal-vapulea-pablo-iglesias-la-monarquia-sirve-alguien-devorado-odio-no-alcance-la-jefatura-del-estado/</t>
  </si>
  <si>
    <t>https://www.facebook.com/1455511311374729/posts/2209098209349365/</t>
  </si>
  <si>
    <t>Profesor UNIR. Investigador permanente en Filosofía, Teología y TIC aplicadas a la Educación. Pro-vida eterna.</t>
  </si>
  <si>
    <t>Dolores (Alicante)</t>
  </si>
  <si>
    <t>Todos somos hijos de la flauta.</t>
  </si>
  <si>
    <t>Repaso de un 'rojo' andaluz a Pablo Iglesias: "Cuando usted predica pobreza y se compra un chalé, nace un fascista" - Libertad Digital</t>
  </si>
  <si>
    <t>Fco Jav Echeverría R</t>
  </si>
  <si>
    <t>Por abrir el debate de la CE1978: En un lado: Adolfo Suárez, Gutiérrez Mellado, Gabriel Cisneros, Gregorio Peces-Barba, Miquel Roca, Jordi Solé... En el otro: @Pablo_Iglesias_ , @Irene_Montero_, @ArnaldoOtegi, @QuimTorraiPla, @gabrielrufian, Oriol Junqueras...</t>
  </si>
  <si>
    <t>https://www.libertaddigital.com/espana/2018-12-04/carta-de-un-rojo-andaluz-a-pablo-iglesias-cuando-usted-predica-sobriedad-pero-se-compra-un-chale-nace-un-fascista-1276629342/</t>
  </si>
  <si>
    <t>📩 fran@gfcomunicacionintegral.es</t>
  </si>
  <si>
    <t>🎯G&amp;F Comunicación &amp; Mass Media 📝Licenciado @Derecho_Unizar y @UCMccInf 📺Punto Radio &amp; @elchiringuitotv ⚽️Fundador @ADSALA2012 📝Empresario</t>
  </si>
  <si>
    <t>http://www.gfcomunicacionintegral.es</t>
  </si>
  <si>
    <t>Asociación Libera!</t>
  </si>
  <si>
    <t>Así se divierten los cazadores, grabando como una jauría despedaza a un jabalí herido y aterrorizado🐗🤳¿Esto es conservar la Naturaleza? 🤔 ✏️ Firma la petición  👉 Apoya la campaña</t>
  </si>
  <si>
    <t>mi niña insumisa</t>
  </si>
  <si>
    <t>No es @Pablo_Iglesias_ medía España te daba 2, guantás bien dás!</t>
  </si>
  <si>
    <t>http://www.bit.ly/CazaEsViolencia
http://www.bit.ly/hazteteamer</t>
  </si>
  <si>
    <t>https://pbs.twimg.com/media/Dt0aDLPWwAEoVGT.jpg</t>
  </si>
  <si>
    <t>pic.twitter.com/CH84kuHtyI</t>
  </si>
  <si>
    <t>mamá de una guerrera,feminista,abolicionista de cualquier tipo de explotación de la mujer y la niña,Atea y anarquista.</t>
  </si>
  <si>
    <t>Concienciamos sobre la explotación que sufren los animales y trabajamos en iniciativas sociales, políticas y legislativas para defenderlos.</t>
  </si>
  <si>
    <t>http://www.liberaong.org/</t>
  </si>
  <si>
    <t>Vito</t>
  </si>
  <si>
    <t>¿Cómo pasar de vestir con camisetas de @Alcampo a comprarte un casoplón por valor superior a 1.000.000€ y pagar 600.000€ IVA incluido? Ya os cuenta el método @Pablo_Iglesias_</t>
  </si>
  <si>
    <t>Marinauta</t>
  </si>
  <si>
    <t>Una vida, un equipo, una pasión sin explicación... HALA MADRID Y NADA MÁS.</t>
  </si>
  <si>
    <t>http://elradio.es</t>
  </si>
  <si>
    <t>Sigo rumbo a Alpha Centaury</t>
  </si>
  <si>
    <t>Me pasa lo contrario q a @Pablo_Iglesias_ , veo a los @mossos pegando sin piedad a  amigos de @gabrielrufian y me emociono 😂😂😂😂😂 dan ganas de salir de #Andalucia para visitar #Barcelona (es ironía @AdaColau q tu no das para mucho)</t>
  </si>
  <si>
    <t>http://fascistas.cat</t>
  </si>
  <si>
    <t>Carzoncillos Desparto</t>
  </si>
  <si>
    <t>Libertad, igualdad, fraternidad, lavado, corte y peinado. Viva la República!! Sois de risa tíos @ahorapodemos @Pablo_Iglesias_</t>
  </si>
  <si>
    <t>https://pbs.twimg.com/media/Dt0Ynd3X4AE1SCG.jpg</t>
  </si>
  <si>
    <t>Cansado de las modernuras y el populismo, donde esté el esparto de toda la vida que se quite el algodón y la licra.</t>
  </si>
  <si>
    <t>Rubén Pérez</t>
  </si>
  <si>
    <t>¿Está blanqueando el presidente de la FGC a VOX? ❎🤔 ------------------------- 👉 Firma la petición</t>
  </si>
  <si>
    <t>http://www.bit.ly/CazaEsViolencia</t>
  </si>
  <si>
    <t>https://pbs.twimg.com/media/Dt4tycaW4AAVjnb.jpg</t>
  </si>
  <si>
    <t>santiago villalobos</t>
  </si>
  <si>
    <t>aquí tenemos a los culpables instigadores, a quienes lo callan y a los que pueden solucionarlo @mossos @tv3cat @tve @PSOE @QuimTorraiPla @Pablo_Iglesias_ @pnique @CSurNoticias @telecincoes @sextaNoticias @sanchezcastejon @PPopular @guardiacivil @policia RT @Schuma78: ⛔VÍDEO CENSURADO EN TV3⛔ Vecinos de Terrassa llorando por el miedo generado por la violencia de los CDR...</t>
  </si>
  <si>
    <t>A voz de @sentouradas e @LiberaONG. Traballador Social. No barco da @mareatlantica. Fago campañas coa @ffw_ch e ST de #BenestarAnimal de @Podemos_Galicia</t>
  </si>
  <si>
    <t>https://twitter.com/Schuma78/status/1070999672238587905</t>
  </si>
  <si>
    <t>pic.twitter.com/h8QFQb9Zn1</t>
  </si>
  <si>
    <t>Can de palleiro</t>
  </si>
  <si>
    <t>GALIZA interior</t>
  </si>
  <si>
    <t>Descendente de castrexos. Loitei nas guerras cántabras contra as lexións romanas. Participei nas revoltas Irmandiñas ! Hoxe, "O pobo ó poder"! RT non é adhesión</t>
  </si>
  <si>
    <t>AnaGarcia</t>
  </si>
  <si>
    <t>🇪🇸✌️Después que es lo que irá? @sanchezcastejon y @Pablo_Iglesias_, lleven los a su casa y les dan trabajo, pero con un contrato en condiciones.</t>
  </si>
  <si>
    <t>https://m.eldiario.es/desalambre/Interior-comenzara-cuchillas-Ceuta-Melilla_0_843765795.html</t>
  </si>
  <si>
    <t>Especuradora , Financiera Sin Corazón ....vá con2ª</t>
  </si>
  <si>
    <t>Protestas contra VOX en Andalucía - Pablo Iglesias y Soldado Cebolleta -...  vía @YouTube</t>
  </si>
  <si>
    <t>Cartagena, España</t>
  </si>
  <si>
    <t>https://youtu.be/3eLKQ-zSPsk</t>
  </si>
  <si>
    <t>España......Tabarnia</t>
  </si>
  <si>
    <t>Solo sé que NO sé NADA , porque TODO es MENTIRA o verdad FINANCIADA......🎇💰.Gentes como .Soros Manda 💰🎇</t>
  </si>
  <si>
    <t>Esto es una ciudad atractiva #Granada @Pablo_Iglesias_ y no la cloaca en q se ha convertido #Barcelona @AdaColau #Andalucía RT @LogicCost: @Winneradas</t>
  </si>
  <si>
    <t>https://twitter.com/logiccost/status/1070721079025508353</t>
  </si>
  <si>
    <t>https://pbs.twimg.com/media/Dtv3IwoXQAUjEUJ.jpg</t>
  </si>
  <si>
    <t>JAVIER 🗿🗿🗿</t>
  </si>
  <si>
    <t>El de los discursos republicanos. El que va a modernizar la democracia. Menudo pájaro @Pablo_Iglesias_ RT @OrbitaEduardo: En este homenaje del Chepas a H. Chaves en 2015, dice que los ESCRACHES son su mejor y más temerosa arma. Animo a todos a regalarle a este payaso, muchos "escraches", llenenlo de ese preciado regalo que tanto le gusta hasta que se harte.</t>
  </si>
  <si>
    <t>https://twitter.com/OrbitaEduardo/status/1070791475988975617</t>
  </si>
  <si>
    <t>pic.twitter.com/ik7v2RuLGR</t>
  </si>
  <si>
    <t>Español de Sevilla 🇪🇸</t>
  </si>
  <si>
    <t>Yolanda Colombiana</t>
  </si>
  <si>
    <t>Bueno es que la matanza de Atocha alla 1977 le enseño y le recuerda de manera imborrable ese derecho que el no comparte porque prefiere usar el escrito y la palabra como armas de debate @Pablo_Iglesias_</t>
  </si>
  <si>
    <t>benalmadena</t>
  </si>
  <si>
    <t>superviviente guerrera autosuficiente da valor su palabra y cumple. Cínica descarada irreverente insoportable sangre latina caliente superdotada en ironía</t>
  </si>
  <si>
    <t>Ya somos dos y añado que ni loca, colocada...¡Qué asco por Dios!👍👌 Bertín Osborne hunde en la miseria a Pablo Iglesias: "Yo no le voto ni muerto y ni borracho de vino"  vía @Periodistadigit</t>
  </si>
  <si>
    <t>Chatbot para Empresa</t>
  </si>
  <si>
    <t>Vía:@Pablo_Iglesias_ | Barcelona es elegida por el Euro­pean Institute of Innovation and Technology para ser la capital europea de la movilidad urbana. Más empleo y más empresas estratégicas invirtiendo. Barcelona vuelve a demostrar ser una ciudad atract…</t>
  </si>
  <si>
    <t>https://pbs.twimg.com/media/Dt0PhviXQAA2PPx.jpg</t>
  </si>
  <si>
    <t>¿Quieres agradecer a tus followers con un tweet? Pregunta por nuestros planes vía DM #empresas #negocios</t>
  </si>
  <si>
    <t>Antoni Manchado</t>
  </si>
  <si>
    <t>Me llama la atención que Felipe de Borbón llamase a @Pablo_Iglesias_ para interesarse por sus hijos y que éste le niegue el saludo, ayer. Feo!</t>
  </si>
  <si>
    <t>Alejandro López</t>
  </si>
  <si>
    <t>Cuando Pablo Iglesias defendía el derecho a portar armas xD</t>
  </si>
  <si>
    <t>ÜT: 39.520388,2.497903</t>
  </si>
  <si>
    <t>Ing. de Teleco. Cooperativista. Exsenador PSOE. Jubilado pero dispuesto a emprender el viaje a Ítaca, si la compañía vale la pena. Mi voz es mía, siempre.</t>
  </si>
  <si>
    <t>http://www.antonimanchado.com</t>
  </si>
  <si>
    <t>Dublin, Irlanda</t>
  </si>
  <si>
    <t>23· Tripulante de cabina para Ryanair en Dublín. Me encanta la buena músca,la historia,y la literatura. Me fascina la política,aunque cause polémica</t>
  </si>
  <si>
    <t>http://instagram.com/alexlopezhern</t>
  </si>
  <si>
    <t>Carlos Zayas</t>
  </si>
  <si>
    <t>Dos niños asesinados por #FAES mientras montaban un pesebre en #Caracas. Espero pasen una feliz Navidad @Pablo_Iglesias_ e @Irene_Montero_ en su mansión custodiada y vigilada 24/365, mientras descorchan una botella de champán y gritan "Chávez vive, la lucha sigue"... 😡 RT @TITORODRIGUEZZ: VENEZUELA CONMOCIONADA por AJUSTICIAMIENTO de dos niños en #Caracas😔 Funcionarios del #FAES (división de la policía de #Maduro q AJUSTICIÓ a Oscar Pérez y a su equipo) ACRIBILLÓ a dos menores mientras hacían un pesebre en #ElValle #07Dic 🎥@maryorinmendez</t>
  </si>
  <si>
    <t>https://twitter.com/TITORODRIGUEZZ/status/1070958906829086720</t>
  </si>
  <si>
    <t>pic.twitter.com/UMoD6NzgmO</t>
  </si>
  <si>
    <t>MJGP</t>
  </si>
  <si>
    <t>Entre Sevilla y Caracas. Por ahí.</t>
  </si>
  <si>
    <t>Apasionado de la libertad ergo antagonista irreconciliable del Socialismo Internacional. Las Guarimbas son las calles, son Venezuela.</t>
  </si>
  <si>
    <t>Et bla bla bla ,Franco bla bla los indepes , el femenismo desde hace cuatro años y que han hecho en concreto por la gente normal que trabaja ? Usted en 4 años ha pasado de 900€ a mínimo 6000€. Una" casita" en el campo no es envidia , soy propietaria @Pablo_Iglesias_ RT @RIVAS_Llanera: 📽 @Pablo_Iglesias_ califica a @vox_es como la corriente FRANQUISTA del @PPopular y a su líder @Santi_ABASCAL como un corrupto, bajo la Protección de @EsperanzAguirre 🔴 PREGUNTA ⁉️ ¿ Qué es @ahorapodemos y su líder ? @Pablo_Iglesias_ en Espejo Público.</t>
  </si>
  <si>
    <t>BIO-LIBER</t>
  </si>
  <si>
    <t>La casa de Pablo Iglesias en Vallecas estaba repleta películas francesas, italianas, españolas: La batalla de Argel, de Gillo Pontecorvo, Las invasiones bárbaras, de Denys Arcand o El Verdugo, de Luís García Berlanga' El Capital Perdido por @JLahispaniola</t>
  </si>
  <si>
    <t>http://jordilahispaniola.blogspot.com/2018/08/el-capital-perdido.html</t>
  </si>
  <si>
    <t>Vida y Obra libérrimas de escritores, científicos y artistas</t>
  </si>
  <si>
    <t>Segun el art. 155 los "mossos d'escuadra" deben ser sustituidos por la guardia civil en Cataluña en las labores de seguridad,es la ley Æ @vox_es @sanchezcastejon @sorayasds @pablocasado_ @pnique @Pablo_Iglesias_ @CiudadanosCs @CIA @CasaReal @EMADmde @Defensagob @interiorgob Æ</t>
  </si>
  <si>
    <t>Carlos Cuesta</t>
  </si>
  <si>
    <t>Echenique llama "Torrente" a Abascal y Santiago Segura le pone en su sitio... Los casposos y comunistas podemitas aún se atreven a menospreciar... El próximo Club de la Comedia a lo mejor lo celebra Pablo Iglesias en su casoplón, que le cabe hasta la grada</t>
  </si>
  <si>
    <t>https://okdiario.com/espana/2018/12/07/echenique-llama-torrente-abascal-santiago-segura-pone-sitio-3440190</t>
  </si>
  <si>
    <t>Adjunto al director de OK Diario</t>
  </si>
  <si>
    <t>JMDJ</t>
  </si>
  <si>
    <t>"Cuando usted predica pobreza pero se compra un chalé, nace un fascista"</t>
  </si>
  <si>
    <t>Xavi</t>
  </si>
  <si>
    <t>El populista de ULTRA-IZQUIERDA @pnique de @ahorapodemos critica al líder de @vox_es @Santi_ABASCAL porque porta un arma. PERO............... @Pablo_Iglesias_ en 2012: "El derecho a portar armas es una de las bases de la democracia".  @mejoreszasca</t>
  </si>
  <si>
    <t>http://ver.20m.es/_v1jq2</t>
  </si>
  <si>
    <t>https://okdiario.com/espana/2018/12/07/iglesias-da-razon-abascal-derecho-portar-armas-bases-democracia-3438627#.XApzjQrFBFg.twitter</t>
  </si>
  <si>
    <t>Jose Manuel DJ</t>
  </si>
  <si>
    <t>http://electronicmusic.webgarden.es/</t>
  </si>
  <si>
    <t>Trabajando duro, working hard, travailler dur, treballant dur, traballando moito, lan gogorra......</t>
  </si>
  <si>
    <t>DR HACKEMBUSH💯💙❤️💛🦇</t>
  </si>
  <si>
    <t>Pedro y Pablo “Los Picapiedra” @sanchezcastejon @Pablo_Iglesias_ .....No os da vergüenza saber que sois los dos MAMARRACHOS más grandes que ha tenido España 🇪🇸 ? Superando a Zapatero !!!!</t>
  </si>
  <si>
    <t>pic.twitter.com/MIFkcXrFtH</t>
  </si>
  <si>
    <t>Valenciano , Español y no soporto a las 🐀🐀 pancas . 💙❤️💛🦇💯</t>
  </si>
  <si>
    <t>Juanlu(13)🇪🇸  R.Madrid</t>
  </si>
  <si>
    <t>Te han clavado @Pablo_Iglesias_ en serio lo has copiado de una peluqueria?? Es que eres un personaje eh?</t>
  </si>
  <si>
    <t>https://pbs.twimg.com/media/Dt0QptGX4AAS0ts.jpg</t>
  </si>
  <si>
    <t xml:space="preserve">de malaga a Jaén  y viceversa </t>
  </si>
  <si>
    <t>Son sólo palabras. aprendiendo ya más rápido... con Batmovil🇪🇸 HALA MADRID ! está cuenta intentará ser el altavoz q despierte tu conciencia 🏆13</t>
  </si>
  <si>
    <t>Mi nombre es Joe Black 🇪🇸🇪🇸😁</t>
  </si>
  <si>
    <t>🔴 No sé como se puede tener un ejemplar de este calibre, en nuestras instalaciones, que asco de gente y encima tener que mantenerles con nuestros impuestos. #EquiparacionYa @AFAPOL @jusapol #LaSilenciosaCat #SablazoAutónomos #EleccionesYa</t>
  </si>
  <si>
    <t>http://www.outono.net/elentir/2014/11/12/pablo-iglesias-reconoce-que-se-ha-dejado-usar-por-iran-para-desestabilizar-espana/?fbclid=IwAR1KGhv1byOs4wf5VdhWhG6SBGLVRmMrMjXEAz0rF8ErEG2JxfgRnqPdywM</t>
  </si>
  <si>
    <t>Mejor no digo lo que pienso, pero sí pienso lo que digo, piijosos no gracias y no es grima por los piojos precisamente.</t>
  </si>
  <si>
    <t>Xavi Burgos #PiuleigRepublicà amb @MiercolesRepub1</t>
  </si>
  <si>
    <t>Share!  #LibertadPresosPoliticos catalanes y absolución de todos los exmiembros del @govern y de la mesa del @parlamentcat A/A @PoderJudicialEs @sanchezcastejon @desdelamoncloa @LolaDelgadoG @justiciagob @Adrilastra @PSOE @Pablo_Iglesias_ @unidos_podemoSND</t>
  </si>
  <si>
    <t>Domingo</t>
  </si>
  <si>
    <t>Bertín Osborne hunde en la miseria a Pablo Iglesias: "Yo no le voto ni muerto y ni borracho de vino" | Periodista Digital</t>
  </si>
  <si>
    <t>https://catalunyadiari.com/amp/politica/tribunal-constitucional-recursos-empara-presos-gener</t>
  </si>
  <si>
    <t>Calonge de Segarra. Cat. PPCC</t>
  </si>
  <si>
    <t>Internacionalista, Ecosocialista pel reconeixement de l'AltaSegarra, l' alliberament nacional de totes les #NacionesIbericasSinEstado i la #ConfederacióIbérica</t>
  </si>
  <si>
    <t>Podemos Madrid</t>
  </si>
  <si>
    <t>Ayer hablamos sobre republicanismo, feminismo y democracia, bases para #UnaConstituciónModerna en un gran acto en el que @Pablo_Iglesias_ pidió poner en valor el feminismo como fuerza motriz del cambio.</t>
  </si>
  <si>
    <t>https://www.eldiario.es/politica/Pablo-Iglesias-contrapone-republicanismo-feminista_0_843416120.html</t>
  </si>
  <si>
    <t>Juan Usategui</t>
  </si>
  <si>
    <t>La reacción de Pablo Iglesias el domingo después del resultado electoral, se parece a la que este domingo se dará entre los hinchas que pierdan la final Libertadores. Fanatismo</t>
  </si>
  <si>
    <t>Cuenta oficial de Podemos Madrid</t>
  </si>
  <si>
    <t>https://madrid.podemos.info/</t>
  </si>
  <si>
    <t>Inquieto, desencantado y equivocado</t>
  </si>
  <si>
    <t>Estos son la extrema-derecha de @vox_es no señor @Pablo_Iglesias_ señora ministra @LolaDelgadoG estos son los constitucionalistas? Iros a la de una puta vez fascistas, vosotros si sois fascistas!!! RT @Bcnisnotcat_: ¡¡ATENCIÓN!! Pedimos ayuda a toda #España. Los separatistas están provocando altercados en toda Cataluña. Han escogido el día de la Constitución para tomar las calles. Los medios lo silencian. Ya no podemos más. EXIJIMOS QUE SE APLIQUE EL ARTÍCULO 155. A qué espera el presidente?</t>
  </si>
  <si>
    <t>Beatriz Salama</t>
  </si>
  <si>
    <t>Esta carta no tiene desperdicio. "Nace un fascista". La carta abierta a Pablo Iglesias que se hace viral tras las elecciones andaluzas  vía @sevillainf</t>
  </si>
  <si>
    <t>https://twitter.com/bcnisnotcat_/status/1070801745968852992</t>
  </si>
  <si>
    <t>pic.twitter.com/HVD6msgDY1</t>
  </si>
  <si>
    <t>https://www.sevillainfo.es/noticias-de-andalucia/nace-un-fascista-la-carta-abierta-a-pablo-iglesias-que-se-hace-viral-tras-las-elecciones-andaluzas/</t>
  </si>
  <si>
    <t>Torrelodones. Madrid</t>
  </si>
  <si>
    <t>Economista. Adoro los gatos y el baloncesto. El R. Madrid de basket es mi pasión. No como animales y soy liberal.</t>
  </si>
  <si>
    <t>http://www.sierranoroeste.es</t>
  </si>
  <si>
    <t>Y los culpables de dirigir esta trama organizada tienen nombre y apellidos  @Irene_Montero_ @ManuelaCarmena @BeatrizTalegon @PSOE @PPopular @CiudadanosCs @PodemosCongreso @sanchezcastejon @pablocasado_ @Pablo_Iglesias_</t>
  </si>
  <si>
    <t>https://pbs.twimg.com/media/Dt0L3NiW0AAkpEe.jpg</t>
  </si>
  <si>
    <t>Joven intelectual que sigue las directrices de @ahorapodemos y al amado líder @Pablo_Iglesias_</t>
  </si>
  <si>
    <t>https://www.facebook.com/podemosdolores/videos/785332081811852/</t>
  </si>
  <si>
    <t>Mateo González</t>
  </si>
  <si>
    <t>Todo el mundo lo dice. Todo el mundo lo reconoce. Todo el mundo lo hace constar. Pero aparte de quejarse en las . nadie hace nada, nadie toma ninguna medida. A cada declaración de @Pablo_Iglesias_ y @agarzon nace un nuevo militante de VOX</t>
  </si>
  <si>
    <t>http://rr.ss</t>
  </si>
  <si>
    <t>De izquierdas, rojo, comunista, no indepe. Quiero transformar hoy, no me valen las recetas de hace cien años, me valen sus enseñanzas.</t>
  </si>
  <si>
    <t>https://lenguadebrujo.wordpress.com</t>
  </si>
  <si>
    <t>Candela #12.O# 🇪🇸ن</t>
  </si>
  <si>
    <t>Majadero habla para majadero. @Pablo_Iglesias_ saca a la calle asus chachas-lumpen contra las urnas. Pero está con:. El "derecho a decidir " en Cataluña. El referendum sobre la Monarquia.#TiempodePactosARV #FelizFinde</t>
  </si>
  <si>
    <t>La Marina</t>
  </si>
  <si>
    <t>No importa que no me entendáis. Que yo estoy hablando en mi lengua española,que es tan bella y noble que debería ser conocida por toda la cristiandad.Carlos I</t>
  </si>
  <si>
    <t>piensoergoexisto🇪🇸</t>
  </si>
  <si>
    <t>La reacción de Pablo Iglesias el domingo después del recuento electoral, me recordaba la rabieta de los niñatos de papa, mal criados, mal educados y bien alimentados.</t>
  </si>
  <si>
    <t>Pero el fascista es ABASCAL @pnique @Pablo_Iglesias_</t>
  </si>
  <si>
    <t>https://pbs.twimg.com/media/Dt0I7tIX4AIRyTn.jpg</t>
  </si>
  <si>
    <t>ESPAÑA madrid</t>
  </si>
  <si>
    <t>Español, padre, libre, maño de origen, madrileño de adopción.La libertad es el más bello tesoro. Salud, amor y deporte. Cada día es ÚNICO.</t>
  </si>
  <si>
    <t>Sonia</t>
  </si>
  <si>
    <t>Holaaaaa te envío este recadito... #ChepasLargate 👎🤮👻👻👻👻👻@Pablo_Iglesias_</t>
  </si>
  <si>
    <t>https://pbs.twimg.com/media/Dt0IvmRW0AAl4NF.jpg</t>
  </si>
  <si>
    <t>Cabal Martinez Chris🇪🇸</t>
  </si>
  <si>
    <t>Ministerio de Justicia: Pena de prisión de 1 a 4 años para Pablo Iglesias por delito de Odio - Signez la pétition !  vía @Change</t>
  </si>
  <si>
    <t>Letrada. fuerte lo que tenemos en Madrid! Pacto de Perdedores con una 🐀 en el ayuntamiento. 🤮🤮👎</t>
  </si>
  <si>
    <t>http://chng.it/BqLFgqPt</t>
  </si>
  <si>
    <t>Alfonso🇪🇸</t>
  </si>
  <si>
    <t>Pero que Maduro reprima al pueblo con armas, torturas y hambre, eso es moderno, progre y de su gusto al no condenarlo. Además de ser amiguito de los Oteguis ... Eh @Pablo_Iglesias_ RT @indisioux: Echenique criticando que Abascal llevara una pistola para defenderse de ETA y Pablo Iglesias reivindicando el derecho a portar armas. A ver, podéis ser demagogos, pero un orden por favor que liáis a las bases.</t>
  </si>
  <si>
    <t>Bruselas, Bélgica</t>
  </si>
  <si>
    <t>hijo de emigrante nacido en Bruselas. toda una vida en Bélgica con el corazón en España. Ser español es un orgullo. viva España 🇪🇸</t>
  </si>
  <si>
    <t>https://youtu.be/JmmcYXX31uA</t>
  </si>
  <si>
    <t>Ingeniero T. Agrícola. Liberal, capitalista y ultrafacha. No venderé mi alma al Estado! Nunca permitas que el sentido de la moral, te impida hacer el bien.</t>
  </si>
  <si>
    <t>Egabrense</t>
  </si>
  <si>
    <t>Yo no compro un disco tuyo ni harto de vino albariño. Bertín Osborne: "A Pablo Iglesias no le voto ni muerto, ni harto de vino"  vía @elmundoes</t>
  </si>
  <si>
    <t>Veo tuiteros escatimado soltar un sonoro ¡¡¡hijos de la gran puta!!! A unos indeseables dirigidos por un criminal llamado @Pablo_Iglesias_. Por temor a que le cierren la cuenta de tuiter. Sois basura, no tenéis honor. Eso vale para todos. Buenos días.</t>
  </si>
  <si>
    <t>Pensionista de los que no vota PP, Cs, PSOE y mucho menos VOX.</t>
  </si>
  <si>
    <t>SalomonII</t>
  </si>
  <si>
    <t>Dice @Pablo_Iglesias_ que los españoles estamos por la Republica. Por eso aplaudieron ayer a los reyes y abuchearon a P. Sanchez, por eso el pierde votos y Vox gana, por eso el quiere vivir como un rey y dice apoyar a la clase obrera.Un trepa con ideales trasnochados y un cinico</t>
  </si>
  <si>
    <t>El 15% del voto de @Vox en Andalucía viene de la izquierda. En las próximas generales termina por llevarae el 90 % de la izquierda. Gracias Pablo Iglesias @Podermos , te lo agradeceremos eternamente</t>
  </si>
  <si>
    <t>Último rey de Israel</t>
  </si>
  <si>
    <t>Hipócrita 👏🏻👏🏻 @Pablo_Iglesias_ RT @Ivan_Pietri: Ahora lo niega, pero es la verdad, el referente de Pablo Iglesias es Hugo Chávez a quien llama comandante. Ayúdame a difundirlo. Que todo el mundo lo vea. #PodemosEsChavismo</t>
  </si>
  <si>
    <t>https://twitter.com/ivan_pietri/status/1037087705836998656</t>
  </si>
  <si>
    <t>Emiaj</t>
  </si>
  <si>
    <t>pic.twitter.com/fxNlM5wuBv</t>
  </si>
  <si>
    <t>Tabarnes de corazón. Soy amante y defensor de la libertades. Por tanto, un liberal empedernido y enemigo a ultranza de los nacionalismos excluyentes.</t>
  </si>
  <si>
    <t>Toño RIVAS</t>
  </si>
  <si>
    <t>📽 @Pablo_Iglesias_ califica a @vox_es como la corriente FRANQUISTA del @PPopular y a su líder @Santi_ABASCAL como un corrupto, bajo la Protección de @EsperanzAguirre 🔴 PREGUNTA ⁉️ ¿ Qué es @ahorapodemos y su líder ? @Pablo_Iglesias_ en Espejo Público.</t>
  </si>
  <si>
    <t>Marina R A</t>
  </si>
  <si>
    <t>Tribuna | ¿Para qué sirve hoy la monarquía?; por Pablo Iglesias  vía @el_pais</t>
  </si>
  <si>
    <t>Llanera, Principado de Asturia</t>
  </si>
  <si>
    <t>PADRE DOS 🌞 DE HIJAS Ilusionado con C's 🍊</t>
  </si>
  <si>
    <t>https://elpais.com/elpais/2018/11/21/opinion/1542806031_921444.html?id_externo_rsoc=TW_CC</t>
  </si>
  <si>
    <t>Hola @ahorapodemos @iunida #UP @Irene_Montero_ @ionebelarra @pnique @abrazopartio @Yolanda_Diaz_ @Pablo_Iglesias_ @agarzon @equo @AhoraMadrid @EnComu_Podem @En_Marea @CCOO @UGT_Comunica Y el problema más grave NO ES EL DE LOS JÓVENES sino EL DE LA CLASE MEDIA (&gt;45).</t>
  </si>
  <si>
    <t>Girona, Catalunya (España)</t>
  </si>
  <si>
    <t>Psicòloga General Sanitària. Especialitzada en Infància i Atenció Precoç. De l'Empordà, residint a Bcn. Amante del 🌊 y del 🐚🦀🐟. Convivo con pies+manos frías</t>
  </si>
  <si>
    <t>https://pbs.twimg.com/media/Dt0EdWTXcAAaY7x.jpg</t>
  </si>
  <si>
    <t>JuanFGonzalez Tejada</t>
  </si>
  <si>
    <t>juanlu</t>
  </si>
  <si>
    <t>Que dicen Tezanos, @sanchezcastejon @susanadiaz y @Pablo_Iglesias_ que hay que repetir las elecciones en Andalucía, hasta que salgan los resultados que ellos quieren</t>
  </si>
  <si>
    <t>"Os dieron a elegir entre el deshonor y la guerra, elegisteis el deshonor. Ahora tendréis la guerra" Churchill. A quien critique mi camino,le regalo mis zapatos</t>
  </si>
  <si>
    <t>MADRID</t>
  </si>
  <si>
    <t>http://machacandolasalmendra.blogspot.com</t>
  </si>
  <si>
    <t>Bruce Wayne</t>
  </si>
  <si>
    <t>Que plan para hoy @Pablo_Iglesias_ @Irene_Montero_ ?? Vais a quemar un par de iglesias por la libertad del pueblo? U hoy que tocaba? Pagar rabos nuevos a los travestis para acabar con el hambre infantil verdad?</t>
  </si>
  <si>
    <t>España en peligro</t>
  </si>
  <si>
    <t>FX Dealer. The golden orphan.</t>
  </si>
  <si>
    <t>Uf @Pablo_Iglesias_ tú de 'santo" muyyyyy poco 😂😂😂 RT @Miguel11065988:</t>
  </si>
  <si>
    <t>https://twitter.com/Miguel11065988/status/1070551816381874176</t>
  </si>
  <si>
    <t>https://pbs.twimg.com/media/DttdM7EXgAAG3yf.jpg</t>
  </si>
  <si>
    <t>Por qué España no desaparezca</t>
  </si>
  <si>
    <t>Emonru136</t>
  </si>
  <si>
    <t>Ojalá @Pablo_Iglesias_ @Albert_Rivera @Santi_ABASCAL @sanchezcastejon y todos los que nos representáis, le dediquéis unos minutos a este articulo para que podáis sacar vuestras propias conclusiones.Ser liberal | Edición impresa | EL PAÍS</t>
  </si>
  <si>
    <t>https://elpais.com/diario/2006/03/18/opinion/1142636405_850215.html</t>
  </si>
  <si>
    <t>Zufre, España</t>
  </si>
  <si>
    <t>I'm in love til the trancas Yo no elegí nacer en Andalucía, simplemente tuve suerte.</t>
  </si>
  <si>
    <t>Otro punto para @Pablo_Iglesias_ el tolerante... M RT @ldpsincomplejos: También han atacado la sede de Vox en Zaragoza:</t>
  </si>
  <si>
    <t>https://twitter.com/ldpsincomplejos/status/1071004623081758720
https://twitter.com/s1moron/status/1070984350257299456</t>
  </si>
  <si>
    <t>Si para mí #nazis son @ahorapodemos @PDECATsstg @Esquerra_ERC @QuimTorraiPla @gabrielrufian @pnique @Pablo_Iglesias_ @Irene_Montero_ @TeresaRodr_ @JM_Kichi @agarzon @MonederoJC @jordievole @laSextaTV @_anapastor_ @KRLS @junqueras @TelePruses @tv3cat y los violentos q los apoyan</t>
  </si>
  <si>
    <t>Zegarra-Schwark</t>
  </si>
  <si>
    <t>Fran Rivera llama «golfo» a Pablo Iglesias tras las elecciones andaluzas  via @ABC_gente</t>
  </si>
  <si>
    <t>https://www.abc.es/estilo/gente/abci-twitter-fran-rivera-llama-golfo-pablo-iglesias-tras-elecciones-andaluzas-201812041148_noticia.html#ns_campaign=rrss-inducido&amp;ns_mchannel=abc-es&amp;ns_source=tw&amp;ns_linkname=noticia-foto&amp;ns_fee=0</t>
  </si>
  <si>
    <t>Gothia</t>
  </si>
  <si>
    <t>Ahora es cuando os arrepentís de, en lugar de haber hecho caso al camarada @Pablo_Iglesias_ y haber aprendido a fabricar cócteles Molotov, habéis estado de botellón escuchando música que denigra a la mujer.</t>
  </si>
  <si>
    <t>Ex-madridista. Haz y no digas. Deja el puto blablablá porque no voy a escucharte. Autor de "Me llamo Ulises"</t>
  </si>
  <si>
    <t>Diego dal Santo</t>
  </si>
  <si>
    <t>Cuando el Rey @CasaReal supo del problema de los hijos de @Pablo_Iglesias_ los Iglesias-Montero les llamo para preocuparse por su estado, ayer @Pablo_Iglesias_ le ha negado el saludo.El secreto está en la masa.</t>
  </si>
  <si>
    <t>Wuey</t>
  </si>
  <si>
    <t>Vota para encarcelar a Pablo Iglesias por delito de odio:</t>
  </si>
  <si>
    <t>https://www.change.org/p/ministerio-de-justicia-pena-de-prisi%C3%B3n-de-1-a-4-a%C3%B1os-para-pablo-iglesias-por-delito-de-odio?recruiter=915288561&amp;utm_source=share_petition&amp;utm_medium=twitter&amp;utm_campaign=share_petition</t>
  </si>
  <si>
    <t>Luztaquigrafos 🌐</t>
  </si>
  <si>
    <t>Absolutamente en el cieno pestilente y ya de salida hacia el olvido de una mala pesadilla que tuvimos en España. Tic tac ⁦@ahorapodemos⁩ Tic Tac @Pablo_Iglesias_</t>
  </si>
  <si>
    <t>https://www.esdiario.com/amp/781025410/Pablo-Iglesias-se-desespera-al-quedarse-solo-en-su-caceria-al-Rey-Juan-Carlos.html</t>
  </si>
  <si>
    <t>Atesorada capacidad de aprendizaje continuo. Amamos la verdad por encima de todo 🖊️🌐</t>
  </si>
  <si>
    <t>Esto va para @sanchezcastejon Y para @Pablo_Iglesias_</t>
  </si>
  <si>
    <t>https://pbs.twimg.com/media/Dtz-6u6W4AEdUgH.jpg</t>
  </si>
  <si>
    <t>Carmina Reina</t>
  </si>
  <si>
    <t>Estás cosas que se saben hace tiempo, por qué no lo han contado @sextaNoticias , @A3Noticias , @telecincoes .... Si fuera la vida de Pablo Iglesias, hasta en la sopa! Prensa cómplice de corruptos. RT @Asil_Vestra0: "Sin duda alguna, Vox es un negocio" 💶 👉🏻Carlos Aurelio Caldito, expresidente de Vox Badajoz "Vox es la cuenta de gastos de Santiago Abascal y es una palanca para hacerse millonario, él y su entorno" 💰 👉🏻Juan Jara, exvicepresidente de Vox #FelizJueves #40AñosDeConstitución</t>
  </si>
  <si>
    <t>M.C.L.</t>
  </si>
  <si>
    <t>A esto les animas @Pablo_Iglesias_ ? Esto es de lo q te sientes orgulloso? RT @Escribano_R: Antifascistas se llaman.</t>
  </si>
  <si>
    <t>https://twitter.com/Asil_Vestra0/status/1070679544879816704</t>
  </si>
  <si>
    <t>pic.twitter.com/WWC32eyc2J</t>
  </si>
  <si>
    <t>https://twitter.com/escribano_r/status/1070649446927663104</t>
  </si>
  <si>
    <t>pic.twitter.com/Qirq5pira0</t>
  </si>
  <si>
    <t>Ciudadana indignada con la impunidad que existe ante el saqueo de lo público. Gran experiencia en la administración de mi casa y rebelde con causa.</t>
  </si>
  <si>
    <t>https://neuronactiva7.blogspot.com</t>
  </si>
  <si>
    <t>Granada-Despeñaperros-Madrid</t>
  </si>
  <si>
    <t>Ave Fenix!!!!! Soy la hostia, encantada de haberme encontrado en la vida! si me conoces, no me olvidas..</t>
  </si>
  <si>
    <t>Jose L. Sotelo</t>
  </si>
  <si>
    <t>#Vnzla Será la Tumba Electoral de @ahorapodemos ⏩Quien no ha condenado el Hambre, La Miseria y el Asesinato en ese País de parte de la Dictadura de #Maduro ➡NO puede gobernar nada, mucho menos @Pablo_Iglesias_ y los suyos Q'Odian España, sus Leyes, Su Bandera, su Historia!</t>
  </si>
  <si>
    <t>https://pbs.twimg.com/media/Dtz9Og2W4AMQDlD.jpg</t>
  </si>
  <si>
    <t>Cantabria</t>
  </si>
  <si>
    <t>NO HABRA PAZ PARA LOS MALDITOS</t>
  </si>
  <si>
    <t>https://plus.google.com/101097701906649811564</t>
  </si>
  <si>
    <t>Perico</t>
  </si>
  <si>
    <t>Me da vergüenza que no seas capaz de lavarte los dientes amigo @Pablo_Iglesias_</t>
  </si>
  <si>
    <t>https://www.mediterraneodigital.com/espana/comunidad-de-madrid/pablo-iglesias-me-da-vergueenza-como-espanol-que-exista-vox.html</t>
  </si>
  <si>
    <t>Los datos del paro del gobierno en 2015 cortarán las alas de los fraudes fiscales de Pablo Iglesias en La Sexta Noche SALIMOS DE LA CRISIS</t>
  </si>
  <si>
    <t>Pedro el guapo.</t>
  </si>
  <si>
    <t>Otro resultado más, muchas gracias @Pablo_Iglesias_, espero que se tomen medidas con los que alentan la batalla en la calle @vox_es @Vox_Murcia. RT @ldpsincomplejos: Agresión a miembros de Vox en Lorca:</t>
  </si>
  <si>
    <t>Muriel Rot</t>
  </si>
  <si>
    <t>No te enteras que la gente le da igual ser republicana o monárquica, la gente lo que quiere es Paz. Y @ahorapodemos representa confrontación y guerra. Por eso ha sacado tantos votos VOX, porque no os quieren a vosotros @Irene_Montero_ @Pablo_Iglesias_</t>
  </si>
  <si>
    <t>-Los revolucionarios o son estúpidos o deshonestos- Vasili Grossman http://voicesfromspain.com</t>
  </si>
  <si>
    <t>Según el artículo 510 del Código Penal "quiénes públicamente fomenten, promuevan o inciten directa o indirectamente al...</t>
  </si>
  <si>
    <t>CoRReCaMiNoS</t>
  </si>
  <si>
    <t>#OlvidadosEnLaCafetera @radiocable @iescolar @pardodevera @jesusmarana @carnecrudaradio @JesusCintora @Pablo_Iglesias_ @agarzon Ferreras se pregunta en @DebatAlRojoVivo "si hay 400 mil andaluces fascistas". A lo mejor no se da cuenta que hay más de 4 millones en toda España.🤔</t>
  </si>
  <si>
    <t>http://www.diarioalcazar.com/2018/12/pablo-iglesias-podria-ser-juzgado-por.html?m=1&amp;fbclid=IwAR1al_ERw5ptcsyWaRTawkQDclWKaKUFztnr0clMvLy2Ehbe7IXCubyuLrY</t>
  </si>
  <si>
    <t>https://pbs.twimg.com/media/Dtz6xvcWsAI9Ser.jpg</t>
  </si>
  <si>
    <t>Alicante, Comunidad Valenciana</t>
  </si>
  <si>
    <t>Economista/Analista financiero</t>
  </si>
  <si>
    <t>Luis Ángel Aguilar</t>
  </si>
  <si>
    <t>Se equivoca Pablo Iglesias si cree que va a asustar a Abascal. Recordamos sus inicios en política  vía @CorreoDeMadrid</t>
  </si>
  <si>
    <t>A quienes creen que @vox_es es un partido nuevo, oigan la contundencia con la que @Pablo_Iglesias_ explica a @susannagriso quienes son y de donde vienen: #VOX y @Santi_ABASCAL son la parte más rancia y franquista del PP de #Aznar y #EsperanzaAguirre, de cuya corrupción vivieron.</t>
  </si>
  <si>
    <t>pic.twitter.com/LMejRmOydb</t>
  </si>
  <si>
    <t>https://www.elcorreodemadrid.com/nacional/703970350/Se-equivoca-Pablo-Iglesias-si-cree-que-va-a-asustar-a-Abascal.-Recordamos-sus-inicios-en-politica.html</t>
  </si>
  <si>
    <t>LA TERCA UTOPÍA</t>
  </si>
  <si>
    <t>Activista social, comentarista político, profesor, creyente, laico,rojo y cojo Delegado de @fundalatin en España y parte de @La_PAH,#ATTAC, #Podemos,#CCP,#RRCC</t>
  </si>
  <si>
    <t>http://luisangelaguilar.blogspot.com</t>
  </si>
  <si>
    <t>Ésto es la llamada de @ahorapodemos con su presidente al cargo @Pablo_Iglesias_ Ellos sí son democráticos. Patéticos!! RT @s1moron: Así nos hemos desayunado hoy en Zaragoza, con un nuevo ataque de los demócratas de izquierda frente a los fascistas de VOX. Es sarcasmo por supuesto.</t>
  </si>
  <si>
    <t>Ministerio de Justicia: Pena de prisión de 1 a 4 años para Pablo Iglesias por delito de Odio - ¡Firma la petición!  vía @Change</t>
  </si>
  <si>
    <t>https://twitter.com/s1moron/status/1070984350257299456</t>
  </si>
  <si>
    <t>http://chng.it/Y2rnwJsj</t>
  </si>
  <si>
    <t>https://pbs.twimg.com/media/DtzmlZbX4AAdk4K.jpg</t>
  </si>
  <si>
    <t>PBiosca</t>
  </si>
  <si>
    <t>¿Me lo podría repetir Sr @Pablo_Iglesias_ ? Pero ahora desde su nuevo barrio... el de la sierra de Madrid RT @Estrell82754510: @OndaCero_es @carlos__alsina Pero, hay alguien en este país que se crea a Iglesias? Exceptuando a unos cuantos jóvenes que no saben de qué van las cosas. Mirad el vídeo a ver si os enteráis</t>
  </si>
  <si>
    <t>will🇪🇸🇪🇸🇪🇸🇪🇸🇺🇲  por España libre</t>
  </si>
  <si>
    <t>https://twitter.com/Estrell82754510/status/1070989186545672192</t>
  </si>
  <si>
    <t>pic.twitter.com/6tUJxaMxUR</t>
  </si>
  <si>
    <t>Madrid (España)</t>
  </si>
  <si>
    <t>solo merece vivir quien por un noble ideal esta dispuesto a morir</t>
  </si>
  <si>
    <t>http://bit.ly/Porno-gratis</t>
  </si>
  <si>
    <t>Pilar Eyre</t>
  </si>
  <si>
    <t>Laura, yo voy a seguir votando a @PartidoPACMA , pero me alegra que, mientras Sanchez diga que va a apoyar los toros y la caza, @Pablo_Iglesias_ se manifieste en contra... y quiera llevar esas propuestas a su partido. RT @CarmenFCollado: @pilareyre</t>
  </si>
  <si>
    <t>https://twitter.com/carmenfcollado/status/1070989693989339136
https://twitter.com/lau_duart/status/1070653337320734721</t>
  </si>
  <si>
    <t>Paco 🇪🇸</t>
  </si>
  <si>
    <t>Pablo Iglesias reconoce que se ha dejado usar por Irán para desestabilizar España  vía @ElentirVigo</t>
  </si>
  <si>
    <t>Periodista y escritora. Finalista del Premio Planeta 2014. Ahora “Carmen la rebelde”, la mujer que enloqueció de amor a Alfonso XIII. Cada semana en Lecturas.</t>
  </si>
  <si>
    <t>PODEMOS Nou Barris</t>
  </si>
  <si>
    <t>📣Presentación de "Nudo España" con @Pablo_Iglesias_ y Enric Juliana📣 📆10/12 a las 19h en Barcelona 👉No te lo pierdas💜✊ @Podem_BCN @podem_cat @ahorapodemos #FelizFinde #FelizViernes #7Dic #7D</t>
  </si>
  <si>
    <t>Español y Madridista sin complejos</t>
  </si>
  <si>
    <t>http://www.facebook.com/profile.php?id=100000549097887&amp;ref=tn_tinyman</t>
  </si>
  <si>
    <t>https://pbs.twimg.com/media/Dtz3cIlXgAAJBmD.jpg</t>
  </si>
  <si>
    <t>Nou Barris, Barcelona</t>
  </si>
  <si>
    <t>Círculo Podemos Distrito Nou Barris - Barcelona</t>
  </si>
  <si>
    <t>http://www.facebook.com/CercleNouBarris</t>
  </si>
  <si>
    <t>Prisión permanente para el fascista Pablo Iglesias, ya!!</t>
  </si>
  <si>
    <t>https://www.facebook.com/1473550627/posts/10218086932592855/</t>
  </si>
  <si>
    <t>Ridículo apoteósico: Pedro Sánchez pide reformar la Constitución para incluir un artículo․.. que ya existe  No hay en el @PSOE elemento mas tonto que .@sanchezcastejon él y .@Pablo_Iglesias_ pareja ideal para los película los tontos también se enamoran😂😂</t>
  </si>
  <si>
    <t>http://www.mediterraneodigital.com/espana/espana/ridiculo-apoteosico-pedro-sanchez-pide-reformar-la-constitucion-para-incluir-un-articulo-que-ya-existe.html</t>
  </si>
  <si>
    <t>paco</t>
  </si>
  <si>
    <t>Bienvenidos a la República de Galapagar 🤣🤣🤣 @hermanntertsch @Santi_ABASCAL @alonso_dm @JosPastr @Pablo_Iglesias_</t>
  </si>
  <si>
    <t>JoséAngelGarcíaLanda</t>
  </si>
  <si>
    <t>Carta abierta de Santiago Abascal a Pablo Iglesias:</t>
  </si>
  <si>
    <t>https://pbs.twimg.com/media/Dtz2ZJ3XcAE7Q5A.jpg</t>
  </si>
  <si>
    <t>https://gaceta.es/noticias/carta-abierta-santiago-abascal-pablo-iglesias-25042016-1321/</t>
  </si>
  <si>
    <t>Humano soy, pero gran parte de lo humano me es ajeno. Alienum puto. ————————oOo———————— Je pense, donc je ne suis pas. Tu ne penses pas, donc tu suis.</t>
  </si>
  <si>
    <t>http://www.garcialanda.net</t>
  </si>
  <si>
    <t>buenppero</t>
  </si>
  <si>
    <t>Tanto @Pablo_Iglesias_ como @Santi_ABASCAL estan liberando deliberadamente olas de racismo, xenofobia, odio, y sexismo latentes pero no legitimadas, teneis a la sociedad esperando a que los armeis y veros en la plaza del 2 de mayo.</t>
  </si>
  <si>
    <t>Manolindo</t>
  </si>
  <si>
    <t>D derechas,Pijo, Ideologo, Inspirador del PP, Yo le dije Aznar que se afeitara el Bigote, Bisnieto del Padre del Capitalismo Neoliberal Salvaje. Viva Espana!!!</t>
  </si>
  <si>
    <t>Maseras</t>
  </si>
  <si>
    <t>Y seguimos con las consecuencias del llamamiento de @Pablo_Iglesias_ Y yo sigo esperando a que alguien del gobierno salga a afearle la conducta; ah no perdón, que son sus socios...🤭 RT @MariaTabarnia: 🔴🔴🔴 #ATENCIÓN Miembros de Vox denuncian haber sido agredidos en su sede de Lorca @Santi_ABASCAL</t>
  </si>
  <si>
    <t>Ankh-Morpork</t>
  </si>
  <si>
    <t>Aprendiz de todo, maestro de nada. Seguidor de Marx. Admirador de Jodido Estúpido Johnson. Que se jodan.¡Mano de milenio y gamba!...Y dos huevos duros.🖖👽☠️💀☠️👽🖖</t>
  </si>
  <si>
    <t>http://www.manolindo.zz.mu</t>
  </si>
  <si>
    <t>https://twitter.com/MariaTabarnia/status/1070998082257645568
https://www.laverdad.es/murcia/miembros-denuncian-haber-20181207005415-ntvo.html</t>
  </si>
  <si>
    <t>Vilaseca, Tarragona</t>
  </si>
  <si>
    <t>Adelantada a mi tiempo. Primera mujer de España en pisar las aulas de la Facultad. Mi entrada fue recibida con aplausos por mis compañeros. Ay como lo recuerdo😪</t>
  </si>
  <si>
    <t>Cómplices de violentos hay que exigiros responsabilidad penal @QuimTorraiPla @Esquerra_ERC @Pablo_Iglesias_ @pnique @agarzon @TeresaRodr_ @sextaNoticias @junqueras RT @RamonMateos30: Los Mossos cargan otra vez en Girona después de ser atacados, de nuevo, con el lanzamiento de todo tipo de objetos y mobiliario urbano. Con esta gente NO se puede construir nada. Solo destruyen. Indepes…, la VIOLENCIA se os ha ido de las manos.</t>
  </si>
  <si>
    <t>https://twitter.com/ramonmateos30/status/1070639965737025541</t>
  </si>
  <si>
    <t>pic.twitter.com/ZufsbjqxE2</t>
  </si>
  <si>
    <t>Piden la detención de Pablo Iglesias por ser el promotor de las violentas manifestaciones contra VOX en Andalucía</t>
  </si>
  <si>
    <t>elpárrus</t>
  </si>
  <si>
    <t>Está claro que @Pablo_Iglesias_ ha dado un salto de clase social. Debe ser que con el chaletazo lo que pega son los gintonics, porque últimamente no hace más que gritar “no pacharán”. Evolución.</t>
  </si>
  <si>
    <t>si lo importante es pensar...¿qué más da el nombre? si uno rubius, yo...</t>
  </si>
  <si>
    <t>Álvaro Gutiérrez</t>
  </si>
  <si>
    <t>¿Va a condenar @Pablo_Iglesias_ la violencia política o le parece una consecuencia necesaria de su "alerta antifascista"? A ver si el peligro a la democracia viene de otro lado. RT @ldpsincomplejos: Agresión a miembros de Vox en Lorca:</t>
  </si>
  <si>
    <t>Así es, las mujeres sin ir más lejos les dan absolutamente igual a los de izquierdas. Son sólo un instrumento que usan para su auténtico objetivo, que es medrar políticamente y económicamente, y asi poder permitirse por ejemplo un casoplón como el de Pablo Iglesias #UngaUngaArmy RT @CosasDeRusia: @SRinconOfficial El comunista usa la mentira como arma política... quiere llegar del punto A al B y para hacerlo usará todo lo que esté en su mano... Los pobres... el clima... las mujeres maltratadas... los homosexuales, ... Las incoherencias les dan igual, todo se pliega a sus fines.</t>
  </si>
  <si>
    <t>https://twitter.com/CosasDeRusia/status/1071175595206303744</t>
  </si>
  <si>
    <t>León, España</t>
  </si>
  <si>
    <t>🇪🇸 ES/AST/EN</t>
  </si>
  <si>
    <t>http://ranchosanysidro.wordpress.com</t>
  </si>
  <si>
    <t>No existe nadie más inferior que aquellos que insisten en que todos somos iguales (Friedrich Nietzsche)</t>
  </si>
  <si>
    <t>sandra</t>
  </si>
  <si>
    <t>En la Venezuela de Maduro @Pablo_Iglesias_ estaría ya en la carcel o ya lo habrían hecho desaparecer!! Pero esto es España : Piden la detención de Pablo Iglesias por ser el promotor de las violentas manifestaciones contra VOX en Andalucía •…</t>
  </si>
  <si>
    <t>Hristina Asenova</t>
  </si>
  <si>
    <t xml:space="preserve">Republica imaginaria </t>
  </si>
  <si>
    <t>Madre a tiempo completo y Dentista en mis ratos libres, odio el Amarillo.</t>
  </si>
  <si>
    <t>Marbella</t>
  </si>
  <si>
    <t>Bùlgara, vivo en España, me gusta el futbol, la musica y los libros. Anticomunista, antiislamista y antihembrista. Pro-Israel #UngaUngaArmy #VOX #YoNoTeCreo</t>
  </si>
  <si>
    <t>José Enrique</t>
  </si>
  <si>
    <t>Yo tampoco voté #laconstitucion pero gracias a ella tengo la libertad de hoy en dia, @Pablo_Iglesias_ y tu deberias estar agradecido porque por este texto lleno de derechos, puedes hoy estar en tu chalet gracias a los votos a tu partido.</t>
  </si>
  <si>
    <t>👏👏👏👏 @BertinOsborne: "A Pablo Iglesias no le voto ni muerto, ni harto de vino"  vía @elmundoes</t>
  </si>
  <si>
    <t>Jaen</t>
  </si>
  <si>
    <t>Auxiliar administrativo, amante del deporte y la musica, comercial y trader deportivo profesional. ⚽</t>
  </si>
  <si>
    <t>Leopoldo Brandt M.</t>
  </si>
  <si>
    <t>No entiendo la crítica, ya que cuando @Pablo_Iglesias_ lanzó @ahorapodemos apoyaba al régimen que estaba destruyendo #Venezuela, recibían dinero de #iran y todos los medios de comunicación les dieron voz para manifestar sus intenciones #Populistas y #Divisionistas y #totalitarias RT @Santi_ABASCAL: Una irresponsabilidad de @elespanolcom haciéndole el juego a Podemos, a Bildu y los CDR, que pretenden deshumanizarnos para atacarnos impúnemente. Una verdadera pena @pedroj_ramirez</t>
  </si>
  <si>
    <t>https://twitter.com/Santi_ABASCAL/status/1070802202787241984
https://twitter.com/FrayJosepho/status/1070786718683619328</t>
  </si>
  <si>
    <t>Místico, motivador, resoluto, extremista, sarcástico, cruel, pero sincero y muy buen amigo. Soy el hijo del cariño, del amor y la dulzura</t>
  </si>
  <si>
    <t>La memoria HISTÉRICA ❤🇪🇸👊</t>
  </si>
  <si>
    <t>Bertín Osborne hunde en la miseria a Pablo Iglesias: "Yo no le voto ni muerto y ni borracho de vino" GRANDE BERTÍN!!  vía @Periodistadigit</t>
  </si>
  <si>
    <t>Raf</t>
  </si>
  <si>
    <t>Qué ganas de reírte en nuestra cara. @Pablo_Iglesias_</t>
  </si>
  <si>
    <t>España una grande y libre. No Islam. La lengua española para todo el país. Autonomías al carajo de una vez. Votaré a VOX. Lo demás me asquea.</t>
  </si>
  <si>
    <t>https://pbs.twimg.com/media/Dtzx9YGW4AEDbbW.jpg</t>
  </si>
  <si>
    <t>EDM. Social Media and eSports Designer. One Piece. Working for @Hound_Esports. Candado: @rafalocked</t>
  </si>
  <si>
    <t>victor rodriguez de</t>
  </si>
  <si>
    <t>https://www.behance.net/rafgl</t>
  </si>
  <si>
    <t>Mientras todo el el mundo aplaudía en pie a Don Juan Carlos y Doña Sofía,Pablo Iglesias se ocupaba de su Ipad se ponía en contacto con el fontanero el asunto era grave"El desagüe de la piscina de La Navata se hallaba obstruido por un compacto bloque de hojas de sauces".</t>
  </si>
  <si>
    <t>No entiendo la crítica, ya que cuando @Pablo_Iglesias_ lanzó @ahorapodemos apoyaba al régimen que estaba destruyendo #Venezuela, recibían dinero de #iran y todos los medios de comunicación les dieron voz para manifestar sus intenciones #Populistas y #Divisionistas y #totalitarias RT @FrayJosepho: 🔴OJO A ESTE TITULAR. No es de Público ni de . Ni siquiera de El País. NO. Es de @elespanolcom de @pedroj_ramirez. Que no hay que "humanizar" a @Santi_ABASCAL. O sea, que hay que deshumanizarlo. Un diario que se dice liberal. Triste.</t>
  </si>
  <si>
    <t>https://twitter.com/FrayJosepho/status/1070786718683619328
http://eldiario.es
https://www.elespanol.com/bluper/noticias/irresponsabilidad-ana-rosa-telecinco-humanizando-santiago-abascal-ultraderecha</t>
  </si>
  <si>
    <t>https://pbs.twimg.com/media/DtwySN0WsAEXWz6.jpg</t>
  </si>
  <si>
    <t>Yo creo que Pablo Iglesias no puede estar en el gobierno. Se parece a los proetarras.. pero ¿que podíamos esperar de un partido financiado por IRÁN y por el CHAVISMO? No cerremos los ojos, Podemos es un partido ANTIDEMOCRATICO que no acepta los votos de los ciudadanos andaluces. RT @Anonymus_ES: Ministerio de Justicia: Pena de prisión de 1 a 4 años para Pablo Iglesias por delito de Odio - ¡Firma la petición!  #FelizFinde</t>
  </si>
  <si>
    <t>https://twitter.com/anonymus_es/status/1071096608291459072
http://chng.it/7fBSGrVH</t>
  </si>
  <si>
    <t>María Espinosa</t>
  </si>
  <si>
    <t>Nos preguntamos para qué sirve la monarquía. Queremos una España moderna, feminista, donde exista la justicia social, la fraternidad y el diálogo. Como dice @Pablo_Iglesias_, la metáfora de ello es una niña pequeña empoderada que ya “no quiere ser princesa, quiere ser alcaldesa"</t>
  </si>
  <si>
    <t>pic.twitter.com/XAV63mse3v</t>
  </si>
  <si>
    <t>Diputada de Podemos en Madrid. Jurista, vallecana y feminista #MamáPolítica</t>
  </si>
  <si>
    <t>https://www.instagram.com/mariaespinosallave/</t>
  </si>
  <si>
    <t>Juan Alonso Velarde</t>
  </si>
  <si>
    <t>Bertín Osborne se pone morado despellejando a Pablo Iglesias y da la peor noticia a Podemos:  vía @YouTube</t>
  </si>
  <si>
    <t>http://youtu.be/mQF9llh5PfM?a</t>
  </si>
  <si>
    <t>Elpa Jarraco</t>
  </si>
  <si>
    <t>Hoy es un buen día para @Pablo_Iglesias_ , @pablocasado_ , @Albert_Rivera, @Santi_ABASCAL y demás crispadores profesionales. No tenéis altura política para manejar situaciones tan delicadas como la que vive España. ¡Sois unos incendiarios irresponsables!</t>
  </si>
  <si>
    <t>http://www.youtube.com/channel/UCT6Zy6dkQsfxARRlPOjbn0A</t>
  </si>
  <si>
    <t>Dicen que me parezco a Benicio del todo.</t>
  </si>
  <si>
    <t>Ramón Martínez</t>
  </si>
  <si>
    <t>Sí dicen que @marianorajoy era el máximo productor de independes... ¿A @Pablo_Iglesias_ y sus "cachorritos", le van a dar la medalla al mérito por el crecimiento de @vox_es ?</t>
  </si>
  <si>
    <t>San Vicente del Raspeig, España</t>
  </si>
  <si>
    <t>De Novelda a Salamanca y de ahí a medio mundo para, pasando por Monforte del Cid, llegar a San Vicente del Raspeig; y de ahí...</t>
  </si>
  <si>
    <t>http://ramonmartinezpiqueres.blogspot.com</t>
  </si>
  <si>
    <t>Ralph Saxxon</t>
  </si>
  <si>
    <t>¡Cómo tenga los 15 puntos del carnet,y....Encima me toque la lotería,no te digo ya...!!!.Soñar no cuesta dinero(tiempo tal vez,pero dinero no...!).¿Le importará a @Pablo_Iglesias_ que me "toque"...¿?¿No se yo...?¿?</t>
  </si>
  <si>
    <t>Pablo Iglesias dirige un ejército de enloquecidos que destrozan ciudades y golpean a gente si creen que es de derechas. Si el "benigno" gobierno de Maduro financia y consigue colar unos cuantos containers con armas en un puerto español. Estos nazis nos van a matar por la calle. RT @eduardoinda: .@Pablo_Iglesias_ da la razón a @Santi_ABASCAL: “El derecho a portar armas es una de las bases de la democracia”</t>
  </si>
  <si>
    <t>https://twitter.com/eduardoinda/status/1071043787064000512
https://okdiario.com/espana/2018/12/07/iglesias-da-razon-abascal-derecho-portar-armas-bases-democracia-3438627?utm_campaign=inda&amp;utm_medium=Social&amp;utm_source=Twitter#Echobox=1544187530</t>
  </si>
  <si>
    <t>🇪🇸🇪🇸🇪🇸 Fabricante de osos de peluche.</t>
  </si>
  <si>
    <t>Jose A. Cueto 🇪🇸🇧🇪</t>
  </si>
  <si>
    <t>Por lo visto no sólo se plagia en los "másters" de la Rey Juan Carlos. @Pablo_Iglesias_ @pnique @Irene_Montero_ @ahorapodemos ¿vais a dimitir? #LogoLaRepública @pablocasado_ @ccifuentes @elmundoes @EL @el_pais RT @sjar73: @FranciscoIgea Una descarga y ala!</t>
  </si>
  <si>
    <t>⏫AM</t>
  </si>
  <si>
    <t>Le preguntas tu al de Vox sobre que propuestas tiene para combatir la precariedad laboral y te habla del chalet de Pablo Iglesias jajajajaja</t>
  </si>
  <si>
    <t>https://twitter.com/sjar73/status/1070786196224262144</t>
  </si>
  <si>
    <t>https://pbs.twimg.com/media/DtwyXa-XgAUp61t.jpg</t>
  </si>
  <si>
    <t>Woluwe-Saint-Lambert, Belgique</t>
  </si>
  <si>
    <t>Le jour où on mettra les cons en orbite, beaucoup ne seront pas prêts de s'arrêter de tourner (M.Audiard)</t>
  </si>
  <si>
    <t>Ángel Luis Llamas</t>
  </si>
  <si>
    <t>Efectivamente, la resistencia callejera contra el fascismo a la que llamó @Pablo_Iglesias_ es patética, y una tremenda irresponsabilidad. Eso sólo contribuye a prestigiar el frentismo exaltado de un partido que hoy solo es una fuerza regional todavía menor</t>
  </si>
  <si>
    <t>virpb</t>
  </si>
  <si>
    <t>https://www.elperiodicodearagon.com/noticias/opinion/pasen-vean-gran-carnaval_1328718.html</t>
  </si>
  <si>
    <t>Cuando asalten la casa de Pablo Iglesias o de Torra, que dejen pasar a los que vayan a hacerlo.</t>
  </si>
  <si>
    <t>Aragon, Spain</t>
  </si>
  <si>
    <t>Cloud Walker (Nefelibata digital)</t>
  </si>
  <si>
    <t>Outlier</t>
  </si>
  <si>
    <t>O sea...En este santo país llamado(todavía)España resulta inadmisible pensar con voluntad propia....¿O hay que pedir permiso a @gabrielrufian o a @Pablo_Iglesias_ para pensar en libertad?...¡Vale ya de tanto cuento chino...!</t>
  </si>
  <si>
    <t>Cristina Peláez</t>
  </si>
  <si>
    <t>La llamada de Pablo Iglesias a la violencia contra las urnas da "miedo": ¿Quién es el fascista?</t>
  </si>
  <si>
    <t>http://dlvr.it/QssnQf</t>
  </si>
  <si>
    <t>Miércoles Republicano❤️💛💜</t>
  </si>
  <si>
    <t>Pablo Iglesias @Pablo_Iglesias_ contrapone "el republicanismo feminista" al discurso de Felipe VI en el aniversario de la Constitución  #FelizFinde</t>
  </si>
  <si>
    <t>Católica, patriota, esposa y madre| De profesión psicóloga| Provida siempre, en todos los casos, sin excepciones #CadaVidaImporta ¡Maran Atha! Sí, soy de #VOX</t>
  </si>
  <si>
    <t>República Española</t>
  </si>
  <si>
    <t>Todos los miércoles, sin faltar ni uno, tuiteamos por la III República a partir de las 19.00 h (una hora menos en Canarias). ¡Únete, suma tu voz! ❤️💛💜</t>
  </si>
  <si>
    <t>https://www.youtube.com/channel/UCzxgc4H0oHpD_o05R7wmEAA/videos</t>
  </si>
  <si>
    <t>mariluz</t>
  </si>
  <si>
    <t>Deforme Semanal 2x01 - 3.Entrevista a Pablo Iglesias  vía @YouTube</t>
  </si>
  <si>
    <t>Enrique Olivares</t>
  </si>
  <si>
    <t>Esa Constitución durante #40añosConstitución , es la que a día de hoy le ampara para decir y querer eliminar a su antojo lo que no le conviene. @Pablo_Iglesias_ . Díganos qué derechos de la “gente” (ciudadanos si no le importa) no garantiza. RT @ahorapodemos: "Creemos que la Constitución no puede ser una reliquia, que la institución tiene que ser un instrumento dinámico que sirva para proteger los derechos de la gente, y por eso pensamos que la Constitución se tiene que modernizar". @Pablo_Iglesias_ #40AñosDeConstitución</t>
  </si>
  <si>
    <t>https://youtu.be/J8zxI2tnsSc</t>
  </si>
  <si>
    <t>https://twitter.com/ahorapodemos/status/1070633150353760256</t>
  </si>
  <si>
    <t>Dos Hermanas - Jumilla</t>
  </si>
  <si>
    <t>Olivares&amp;Asociados - Abogados -- José Carreras nº 11 ( Dos Hermanas - Sevilla). #Jumilla allá donde voy. 954728196</t>
  </si>
  <si>
    <t>.</t>
  </si>
  <si>
    <t>Cuando @Pablo_Iglesias_ hace las cosas bien también hay que admitirlo. Esa piscina está guapísima RT @HispanoVisigoda: Este tuit va dirigido a los jóvenes y jóvenas de España: Desde aquí, ver fotos, se dirigen los discursos a las hordas comunistas, nazionalistas y anarquistas de nuestro país. Nota. Hay que ser tonto y tonta para seguir la corriente de este millonario comunista.</t>
  </si>
  <si>
    <t>Toda la Politica</t>
  </si>
  <si>
    <t>https://twitter.com/HispanoVisigoda/status/1070637285853540352</t>
  </si>
  <si>
    <t>https://goo.gl/fkGPVo</t>
  </si>
  <si>
    <t>Este muerto está muy vivo</t>
  </si>
  <si>
    <t>Noticias sobre política, partidos políticas y artículos de opinión.</t>
  </si>
  <si>
    <t>Xosé Manuel Meijome</t>
  </si>
  <si>
    <t>Ogallá @QuimTorraiPla e @pablocasado_ rexeitaran por igual as agresions a persoas da ideoloxía "oposta"... iso si sería "reconciliación" e daría pé ó "consenso" mentras... imos camiño dunha ruptura violenta Tamén @sanchezcastejon @Pablo_Iglesias_ e @Albert_Rivera se deberan sumar</t>
  </si>
  <si>
    <t>pic.twitter.com/mS9WeE2Ghr</t>
  </si>
  <si>
    <t>Iberia</t>
  </si>
  <si>
    <t>SI FOSEMOS PATRIOTAS DA TERRA EN LUGAR DO ANACO DELA NO QUE A HISTORIA E A VIDA NOS BOTOU...</t>
  </si>
  <si>
    <t>http://kandpalleiro.blogspot.com/</t>
  </si>
  <si>
    <t>Football confidencial.</t>
  </si>
  <si>
    <t>El nivel político en España está tan bajo desde la crisis q hemos llegado a conocer a personajes populistas y caducos como : @Pablo_Iglesias_ @MonederoJC @Ortega_Smith @Santi_ABASCAL . @ahorapodemos y @vox_es son hermanos en su forma de intentar llegaros con lo que os gusta oír.</t>
  </si>
  <si>
    <t>Machirolandia.</t>
  </si>
  <si>
    <t>Información confidencial del fútbol mundial.Haciendo amigos. Preguntar aquí.</t>
  </si>
  <si>
    <t>Rosa Cobo Bedia</t>
  </si>
  <si>
    <t>La mayoría del movimiento feminista es abolicionista. Los cuerpos de las mujeres no deben ser una mercancia @Pablo_Iglesias_ @ierrejon @Irene_Montero_ @elpais_espana @cielikolindo</t>
  </si>
  <si>
    <t>Feminista. Profesora Titular de Sociología de la Universidad de A Coruña.</t>
  </si>
  <si>
    <t>Mario Ortega</t>
  </si>
  <si>
    <t>Se suceden buenos artículos sobre lo ocurrido en Andalucia, este de @Ruben_PerezT y @FcoFern es excelente y alejado de las cosas que dice @MonederoJC que de América latina sabrá mucho pero de Andalucía cero patatero. @Pablo_Iglesias_ @ierrejon</t>
  </si>
  <si>
    <t>https://blogs.publico.es/dominiopublico/27327/vox-el-error-del-psoe-en-andalucia/</t>
  </si>
  <si>
    <t>Granada - Andalucía</t>
  </si>
  <si>
    <t>Llegué a la ecología política desde la izquierda. Al andalucismo no llegué, estuve desde siempre; Andalucía es mi cultura, la luz que ilumina el mundo que veo.</t>
  </si>
  <si>
    <t>http://www.marioortega.org</t>
  </si>
  <si>
    <t>Pablo Iglesias reconoce que se ha dejado usar por Irán para desestabilizar España. @Pablo_Iglesias_ tiene que dimitir y España llamar a consultas al Embajador en Irán</t>
  </si>
  <si>
    <t>Valesia</t>
  </si>
  <si>
    <t>Encuentro la televisión muy educativa. Cada vez que alguien la enciende, me retiro a otra habitación y leo un libro</t>
  </si>
  <si>
    <t>Si @ahorapodemos ESTÁ DIVIDIDO. HAY MUCHA CONTROVERSIA DENTRO DEL PARTIDO. TIENE MUCHO Q CALLAR @Pablo_Iglesias_. NO LES HA GUSTADO OS VOLVÁIS "CASTA", @pnique TU TAMPOCO TE SALVAS. @Irene_Montero_ QUÉ BIEN OS VIENE @guardiacivil en vtro chalet? Si no los queréis quitaroslos. RT @dlacalle: Podemos pierde votos cada vez que añade una marca más. Es como el Enron de la política, cuantas más divisiones añadía, más perdía</t>
  </si>
  <si>
    <t>https://twitter.com/dlacalle/status/1070359636224692225
https://twitter.com/ldpsincomplejos/status/1070325586231525376</t>
  </si>
  <si>
    <t>Luisa</t>
  </si>
  <si>
    <t>Las cuatro menciones a España que Podemos borró del discurso de Pablo Iglesias tras el 2-D</t>
  </si>
  <si>
    <t>https://eldebate.es/politica-de-estado/las-4-menciones-a-espana-que-podemos-borro-del-discurso-de-pablo-iglesias-tras-el-2-d-20181207?utm_medium=social&amp;utm_source=twitter&amp;utm_campaign=shareweb&amp;utm_content=footer&amp;utm_origin=footer</t>
  </si>
  <si>
    <t>Y para proteger los derechos de vuestra “gente”, que vais a hacer, ¿no aceptar unos resultados democráticos? ¿Imponer un gobierno comunista, de “la gente”? @Pablo_Iglesias_ carece de cualquier autoridad para sugerir reformas de nuestra Carta Magna. #40añosDeConstitución RT @ahorapodemos: "Creemos que la Constitución no puede ser una reliquia, que la institución tiene que ser un instrumento dinámico que sirva para proteger los derechos de la gente, y por eso pensamos que la Constitución se tiene que modernizar". @Pablo_Iglesias_ #40AñosDeConstitución</t>
  </si>
  <si>
    <t>Estudiante de 5º Medicina/ Liberal convencido, España, Europa. Sin complejos. #PoliticaUtil @jovenesCs 🔶🇪🇸🇪🇺</t>
  </si>
  <si>
    <t>J. C. Portela</t>
  </si>
  <si>
    <t>Ministerio de Justicia: Pena de prisión de 1 a 4 años para Pablo Iglesias por delito de Odio - ¡Firma la petición!  vía @change_es si Pablo que vale para un roto, deberá también valer para un descosido…</t>
  </si>
  <si>
    <t>http://chng.it/PTyXGk2d</t>
  </si>
  <si>
    <t>España: mi utopía</t>
  </si>
  <si>
    <t>Me parece increíble que un indigente político como @Pablo_Iglesias_ nos lleve de la mano a la guerra civil. Hay que ser muy cobarde para no detenerlo ya.</t>
  </si>
  <si>
    <t>BARCELONA</t>
  </si>
  <si>
    <t>Pensionista y Licenciado en Ciencias Políticas y Jurídicas en la Administración Pública (UPF). Ahora me dedico a mis labores; tapeo; paseos y buenas siestas.</t>
  </si>
  <si>
    <t>Eterna vigilancia de mis sentidos, es el precio de mi libertad.</t>
  </si>
  <si>
    <t>Politizar y hacer política errónea a la española @UEmadrid @CasaReal @sanchezcastejon @Pablo_Iglesias_ @pablocasado_ @Albert_Rivera  vía @innovadores_inn</t>
  </si>
  <si>
    <t>Luis Peris Vigo</t>
  </si>
  <si>
    <t>Cake Minuesa toma con Vox el antiguo barrio de Pablo Iglesias</t>
  </si>
  <si>
    <t>https://innovadores.larazon.es/es/not/politizar-y-hacer-politica-erronea</t>
  </si>
  <si>
    <t>https://okdiario.com/espana/2018/12/05/ciudadano-cake-toma-vox-antiguo-barrio-pablo-iglesias-3430388#.XAuI7stk3lq.twitter</t>
  </si>
  <si>
    <t>ACTA NON VERBA</t>
  </si>
  <si>
    <t>juan garcia ramirez</t>
  </si>
  <si>
    <t>Más influyentes ahora en Izquierda/Centro Izqda.: ➀ @diostuitero ↑ ➁ @Panik81 ↓ ➂ @dbravo ↓ ➃ @ErnestoEkaizer ↑ ➄ @ahorapodemos ↑↑↑ ➅ @ElenaMoren_ ↑ ➆ @ramonlobo ↓ ➇ @Mongolear ↓ ➈ @SiPeroNo1 ↓ ➉ @Pablo_Iglesias_ ↓</t>
  </si>
  <si>
    <t>Con KALERGI EUROPA será EURO.......</t>
  </si>
  <si>
    <t>😡😡😡🤤💤💤💤👹😽🙌🙌🙌☠️☠️☠️</t>
  </si>
  <si>
    <t>Andy Warhol</t>
  </si>
  <si>
    <t>Cuando tengas un mal día acuérdate de las caras del coletas @Pablo_Iglesias_ y de "Pastor" @_anapastor_ después de las elecciones andaluzas... Te cambiará el día. Te insuflará ánimos y energía. Pruébalo</t>
  </si>
  <si>
    <t>https://pbs.twimg.com/media/DtzjrSIWsAAJGsk.jpg</t>
  </si>
  <si>
    <t>Valores y fe. ❤️Libros, música y animales❤️. The Beatles, Real Madrid y España. Abogado. Hablo alto y claro. Anticomunista. Podemos, NO, por favor.</t>
  </si>
  <si>
    <t>Victor Martinez</t>
  </si>
  <si>
    <t>📢Las agresiones sucedidas ayer a dos miembros de @Vox_Murcia en su sede de #Lorca, son consecuencia de la no aceptación de las reglas electorales tras los resultados en #Andalucía y de tener líderes tan irresponsables como @Pablo_Iglesias_ que incitó a la violencia callejera.</t>
  </si>
  <si>
    <t>https://pbs.twimg.com/media/DtzjgOlXgAApgYw.jpg</t>
  </si>
  <si>
    <t>Santomera {Murcia}</t>
  </si>
  <si>
    <t>Portavoz del Partido Popular en el Parlamento Murciano. Feliz en el presente, ilusionado con el futuro. Mi mujer Belén y mis hijos, Ariadna y Víctor, mi pasión</t>
  </si>
  <si>
    <t>http://www.gppmurcia.org</t>
  </si>
  <si>
    <t>Mientras @Pablo_Iglesias_ llama a la guerra urbana los medios reparten estopa a @vox_es @AnaBotin o @jmalvpal, por citar algunos, podrían hacerlo mucho mejor (publicidad?) No sólo del bloody ROI vive el hombre. @ahorapodemos does not belong here. @hermanntertsch @cultrun</t>
  </si>
  <si>
    <t>Dance Me To The End Of Love</t>
  </si>
  <si>
    <t>JENOFONTE</t>
  </si>
  <si>
    <t>⁦@hermanntertsch⁩ ⁦@pablocasado_⁩ ⁦@Albert_Rivera⁩ ⁦@alfonso_ussia⁩ ⁦@Santi_ABASCAL⁩ ⁦⁩ Adivinen quien será el culpable si un día sucede una tragedia Si ⁦@sanchezcastejon⁩ y su inacción y ⁦@Pablo_Iglesias_⁩</t>
  </si>
  <si>
    <t>https://www.elmundo.es/cataluna/2018/12/07/5c0a396721efa049618b457f.html</t>
  </si>
  <si>
    <t>There where beauty dwells</t>
  </si>
  <si>
    <t>Antirrelativista. Aviador “EL CARACTER ES EL DESTINO”. HERACLITO. “CHARACTER IS DESTINY”. HERACLITUS. Proud of my Mediterraneans’ and Spaniards’ roots. Aviator.</t>
  </si>
  <si>
    <t>Acabo ver un video además de leer lo que dice este diario y creo que D. Julio Anguita es un hombre íntegro donde los haya. Los pajarracos .@agarzon y. @Pablo_Iglesias_ tendrían q vivir 1000 vidas para tener la cuarta parte de honestidad del Sr. Anguita</t>
  </si>
  <si>
    <t>Gonzalo Arias</t>
  </si>
  <si>
    <t>Yo diría que el resultado de las elecciones andaluzas son como si nos hubiera tocado el Gordo de Navidad por adelantado. No me extraña que Pablo Iglesias "se haya transformado".</t>
  </si>
  <si>
    <t>http://www.larazon.es/espana/el-dia-que-julio-anguita-pidio-el-voto-para-la-extrema-derecha-IP20859010</t>
  </si>
  <si>
    <t>Markes.Castellano.Apto para sustos cardiacos, pero sin saber del miedo.Buen Estratega, y conocedor de protocolos.Trabajo para una España unida y feliz.</t>
  </si>
  <si>
    <t>Que @ahorapodemos está en horas bajas lo sabemos. El presupuesto se agota en el casoplón de @Pablo_Iglesias_ o el lujoso piso de @pnique pero que su "logo" sea una copia simplista como esta, sólo está a la altura de su programa electoral. #LaSilenciosaCat</t>
  </si>
  <si>
    <t>Patricia</t>
  </si>
  <si>
    <t>Esto por qué no se hizo antes? Y por qué en la entrevista que se le hizo nadie le soltó que mentía? No sé si lo hicieron o no... me gustaría verlo debatir con Pablo Iglesias, por ejemplo. RT @CervantesFAQs: Las MENTIRAS de @vox_es sobre sus votantes, la inmigración y violencia de género desmontadas en apenas 3 minutos 👇 ¡DIFUNDE!</t>
  </si>
  <si>
    <t>https://pbs.twimg.com/media/DtzhZDMW0AAQ2K4.jpg</t>
  </si>
  <si>
    <t>https://twitter.com/CervantesFAQs/status/1071142892469710848</t>
  </si>
  <si>
    <t>pic.twitter.com/5Rv54qxvWB</t>
  </si>
  <si>
    <t>Feminista y Republicana, ahora opositando, madre... Todo lo relacionado con Ciudadanos me produce náuseas 😣 Soy responsable de lo q escribo, tú de lo q lees!</t>
  </si>
  <si>
    <t>josé antonio vicente</t>
  </si>
  <si>
    <t>#España #Andalucia #VOX #Podemos @Pablo_Iglesias_ VS @Santi_ABASCAL Como la vida misma. RT @Pablito_Pablera: ¿Quién ha sido el genio que ha hecho esto de @Santi_ABASCAL y @Pablo_Iglesias_? 😂😂😂😂😂😂😂😂😂😂😂😂😂😂😂😂😂😂</t>
  </si>
  <si>
    <t>https://twitter.com/Pablito_Pablera/status/1070430839585026048</t>
  </si>
  <si>
    <t>TheLycan ☭</t>
  </si>
  <si>
    <t>pic.twitter.com/gPdFkSV4zG</t>
  </si>
  <si>
    <t>Me parto la polla con los fachas llorando por el montaje cuando ellos llevan 5 años poniéndole la cara de Maduro en la polla a Pablo Iglesias y nadie les dice nada xD RT @danierdecai35: Santi Abascal susurrándole a Franco que él no es de extrema derecha.</t>
  </si>
  <si>
    <t>Principado de Asturias, España</t>
  </si>
  <si>
    <t>Los que viven de la actual política son vomitivos, da igual el palo,te fallaron, te engañaron y seguirán igual. viva España</t>
  </si>
  <si>
    <t>https://twitter.com/danierdecai35/status/1070800695945760768</t>
  </si>
  <si>
    <t>https://pbs.twimg.com/media/Dtw_d7JW4AAeyTa.jpg</t>
  </si>
  <si>
    <t>JuMaCa</t>
  </si>
  <si>
    <t>Ingeniero Informático. Horda. Más rojo que Lenin. Señor del tiempo. Programo mi TARDIS en C++.</t>
  </si>
  <si>
    <t>Contra este fascismo no se manifiestan los votantes de @ahorapodemos. Contra estos nazis no dicen nada @Pablo_Iglesias_ ni @pnique RT @arturelpayaso2: Radicales independentistas, los amigos de Quim Torra y Puigdemont, agreden salvajemente a Álvaro de Marichalar, quien tuvo que huir para no ser linchado. Cataluña está en guerra, y quien no lo vea, que se lo haga mirar.</t>
  </si>
  <si>
    <t>https://twitter.com/arturelpayaso2/status/1070703901127651329</t>
  </si>
  <si>
    <t>pic.twitter.com/20yF6WPkHy</t>
  </si>
  <si>
    <t>El hombre tiene que ser libre, pero no existe la libertad sino dentro de un orden...</t>
  </si>
  <si>
    <t>D. Strange is Back.</t>
  </si>
  <si>
    <t>¿Ya estamos expropiando? Espero que paguen los derechos de autor al diseñador. @WillyTolerdoo @pnique @Pablo_Iglesias_ @ierrejon @ahorapodemos RT @MuyLiberal: Podemos usa como logo de su 'república' una imagen diseñada para peluquerías</t>
  </si>
  <si>
    <t>https://twitter.com/MuyLiberal/status/1070757620565360640
https://okdiario.com/espana/2018/12/06/podemos-usa-como-logo-republica-imagen-disenada-peluquerias-3436295#.XAl0Va8aS0M.twitter</t>
  </si>
  <si>
    <t>Puñetero, perseguidor d farsantes, políticamente incorrecto, con ganas d dar a conocer la verdad. No la del Líder Supremo. HE VISTO + D 14 MILLONES D FUTUROS.</t>
  </si>
  <si>
    <t>Hyperloop apuesta ahora por el sector naviero @UEmadrid @CasaREal @sanchezcastejon @Albert_Rivera @Pablo_Iglesias_ @Pablocasado_ @GobAragon @milenioheraldo  vía @innovadores_inn</t>
  </si>
  <si>
    <t>Podemos Ronda</t>
  </si>
  <si>
    <t>https://innovadores.larazon.es/es/not/hyperloop-apuesta-ahora-por-el-sector-naviero</t>
  </si>
  <si>
    <t>Ronda, Andalucía</t>
  </si>
  <si>
    <t>Cuenta de Twitter oficial del CC de Podemos Ronda. Nacimos para transformar nuestra sociedad. #GanarElFuturo #Ronda #Andalucía http://facebook.com/podemosrondaof…</t>
  </si>
  <si>
    <t>http://podemosronda.com/</t>
  </si>
  <si>
    <t>José Manuel Estévez</t>
  </si>
  <si>
    <t>Alcoa non se pecha... Mucha propaganda populista de aquellos, que luego lamen el culo a #ElBolas para ostentar representación en un presunto gobierno de izquierdas. @Pablo_Iglesias_ Cómo puedes exigir derogación de reforma laboral y apoyar a quien no deroga?? Eres fraudulento RT @ahorapodemos: Defender la patria es proteger su industria y a las familias que dependen de ella. Patriotismo de las cosas de comer. #AlcoaNonSePecha</t>
  </si>
  <si>
    <t>https://twitter.com/ahorapodemos/status/1069702201231228930</t>
  </si>
  <si>
    <t>pic.twitter.com/OnaDA5q7LV</t>
  </si>
  <si>
    <t>Así que el logo de la República Feminista de @ahorapodemos es un cartel de peluquería de SEÑORAS @Irene_Montero_ @Pablo_Iglesias_ No me digáis que no suena a chiste machista 🤣</t>
  </si>
  <si>
    <t>barza y boca en el corazón</t>
  </si>
  <si>
    <t>Juankar..!!</t>
  </si>
  <si>
    <t>Hay que ser cutre @Pablo_Iglesias_ haznos un favor a todos y vete ya! RT @eduardoinda: Podemos usa como logo de su ‘república’ una imagen diseñada para peluquerías</t>
  </si>
  <si>
    <t>https://twitter.com/eduardoinda/status/1070797730518327308
https://okdiario.com/espana/2018/12/06/podemos-usa-como-logo-republica-imagen-disenada-peluquerias-3436295?utm_campaign=inda&amp;utm_medium=Social&amp;utm_source=Twitter#Echobox=1544123087</t>
  </si>
  <si>
    <t>Santiago Abascal no ha dudado en culpar directamente a Pablo Iglesias de la agresión sufrida por dos afiliados de @vox_es en Murcia. El líder podemita lleva días incitando al odio contra VOX y sus militantes.</t>
  </si>
  <si>
    <t>Para los que comparáis a Abascal con Hitler, a ver cuantos de vosotros habéis recibido cartas similares y tenido los cojones de no pagar ni un duro a los amigos de @ArnaldoOtegi y @Pablo_Iglesias_ Deberíais lavaros la boca antes de hablar de Vox, panda de garrulos RT @Pablito_Pablera: Cosas de los socialistas...</t>
  </si>
  <si>
    <t>https://twitter.com/Pablito_Pablera/status/1070823282713206784</t>
  </si>
  <si>
    <t>https://pbs.twimg.com/media/DtxUGQuWoAAMlWf.jpg</t>
  </si>
  <si>
    <t>Democracia clásica, como en el 34 : los que más hablan de ella son los que no aceptan los resultados electorales cuando pierden e invitan a la violencia : @ahorapodemos @Pablo_Iglesias_ HABRIA QUE ILEGALIZAR A PUTREMOS A LA VEZ QUE LOS PARTIDOS GOLPISTAS</t>
  </si>
  <si>
    <t>Jaime Masmiquel</t>
  </si>
  <si>
    <t>Hay alguien más machista que el tarado de Pablo Iglesias? Y más racista que Torra? Pues según el PSOE y algunos, casi todos, medios de comunicación, sí! VOX! Hay que joderse...</t>
  </si>
  <si>
    <t>https://okdiario.com/espana/andalucia/2018/12/07/podemita-que-dice-que-va-salir-matar-fascistas-fotografia-teresa-rodriguez-3437549</t>
  </si>
  <si>
    <t>🅰️hora Cantabria</t>
  </si>
  <si>
    <t>🇪🇸NACIONAL | El logo de Podemos para contrarrestar los actos del 40 aniversario de la Constitución (que presentó @Pablo_Iglesias_ en Twitter) pertenece a un servicio que permite su adquisición por menos de 2 euros y que está originariamente pensado para salones de belleza</t>
  </si>
  <si>
    <t>Enrique Casanova</t>
  </si>
  <si>
    <t>https://pbs.twimg.com/media/DtzcrIBX4AA8pWN.jpg</t>
  </si>
  <si>
    <t>Santander</t>
  </si>
  <si>
    <t>Social Media 2.0 líder en Cantabria. Última hora urgente. Todo lo crucial al minuto. Periodistas titulados. FB/Twitter/Telegram/Youtube/Instagram/Android app</t>
  </si>
  <si>
    <t>http://t.me/ahoracantabria</t>
  </si>
  <si>
    <t>Por una España unida y diversa, que será lo que quieran TODOS los españoles.</t>
  </si>
  <si>
    <t>Álvaro Muñoz</t>
  </si>
  <si>
    <t>Cada vez estás más solo @Pablo_Iglesias_ tic tac... tic tac...⏰ RT @AntonioRNaranjo: Pablo Iglesias se desespera al quedarse solo en su "cacería" al Rey Juan Carlos  vía @ESdiario_com</t>
  </si>
  <si>
    <t>https://twitter.com/AntonioRNaranjo/status/1070968104270868480
https://www.esdiario.com/781025410/Pablo-Iglesias-se-desespera-al-quedarse-solo-en-su-caceria-al-Rey-Juan-Carlos.html</t>
  </si>
  <si>
    <t>Marido, padre y abogado con inquietudes políticas.</t>
  </si>
  <si>
    <t>Ana RBlanco Ѱ</t>
  </si>
  <si>
    <t>Necesitamos huir de los sectarismos y de las dos Españas. Menos pasado y más vivir el presente (es salud mental). Menos divisiones, menos extremismos y más términos medios🙏🏼 ¡Gracias políticos! 😊 @sanchezcastejon @pablocasado_ @Pablo_Iglesias_ @Albert_Rivera @Santi_ABASCAL</t>
  </si>
  <si>
    <t>Psicóloga y muy sportinguista. Rebelde e inconformista como Mafalda. Flores, mar y rincones bonitos. Asturias, mi patria querida</t>
  </si>
  <si>
    <t>Teresa</t>
  </si>
  <si>
    <t>"Igual que el partido de Pablo Iglesias ganó notoriedad cuando empezaba a darse a conocer hace cuatro años prometiendo medidas imposibles... (...) A la postre el resultado, según los expertos consultados, es el mismo: ninguno explica cómo saldrían las cuentas." RT @GarciaAller: Más allá de etiquetas. Por qué el programa económico de Vox no tiene sentido  vía @indpcom</t>
  </si>
  <si>
    <t>https://twitter.com/GarciaAller/status/1070986041685934082
https://www.elindependiente.com/economia/2018/12/07/el-programa-economico-de-vox-no-tiene-sentido/?utm_source=share_buttons&amp;utm_medium=twitter&amp;utm_campaign=social_share</t>
  </si>
  <si>
    <t>Cuánto cuesta tener un entrenador personal para el ahorro según la nueva Directiva Europea Mifid II? @UEmadrid @CasaReal @sanchezcastejon @pablocasado_ @Pablo_Iglesias_ @Albert_Rivera  vía @elEconomistaes</t>
  </si>
  <si>
    <t>http://www.eleconomista.es/mercados-cotizaciones/noticias/9567860/12/18/Cuanto-cuesta-tener-un-entrenador-personal-para-el-ahorro.html</t>
  </si>
  <si>
    <t>Galicia</t>
  </si>
  <si>
    <t>La curiosidad me mata o me salva. Intentando practicar la ecuanimidad. Ocupo mi espacio, no restrinjo el del resto.</t>
  </si>
  <si>
    <t>AVNF</t>
  </si>
  <si>
    <t>Qué ha hecho hoy el millonario Pablo Iglesias? Para q hacer? Ya ha conseguido ser casta y tener él, y sus amigotes, suéldazos y buena vida!</t>
  </si>
  <si>
    <t>Galcerán de Olesa</t>
  </si>
  <si>
    <t>El señor @MonederoJC acaba de decir en @telecincoes que era mentira que D. @Pablo_Iglesias_ hubiese pedido disculpas por no golpear a los fachas que se encontrase en los platós de televisión. Como tiene una memoria frágil, aquí le indico el enlace.</t>
  </si>
  <si>
    <t>https://youtu.be/PNx8YV40Gbk</t>
  </si>
  <si>
    <t>Solo cosas serias</t>
  </si>
  <si>
    <t>Caballero español, al servicio de nobles causas.</t>
  </si>
  <si>
    <t>Buru Blue (͡° ͜ʖ ͡°)</t>
  </si>
  <si>
    <t>Podem Eixample</t>
  </si>
  <si>
    <t>Una persona que apoya a @ahorapodemos llama a @Pablo_Iglesias_ "Trump" al hacer referencias a su casa con muro y vigilancia 24h</t>
  </si>
  <si>
    <t>Son los fascistas de toda la vida sin la máscara!@Pablo_Iglesias RT @MorenoG_Agustin: Qué clarito que tiene @Pablo_Iglesias_ quién es Vox: No son nuevos, vienen del PP: son una corriente aznarista y de Esperanza Aguirre; son el PP sin complejos: Son la corriente franquista del Partido Popular.</t>
  </si>
  <si>
    <t>pic.twitter.com/olBsqQ6fg7</t>
  </si>
  <si>
    <t>🌍España🌍 [Almorra-Hyrule]</t>
  </si>
  <si>
    <t>Analyst and software developer ٩(*-*)۶▐ @isabelmariapf 💙▐ Secretario de Estado de @PaisDeAlmorra▐ Astronomía!!! 🌘▐ Jugando con Nintendo desde 1997▐ 🐍</t>
  </si>
  <si>
    <t>El Cid Castellano</t>
  </si>
  <si>
    <t>De bien nacido es ser agradeccido. @Pablo_Iglesias_ te retratas tu solo. "Casta". RT @infiltradoxxx: Cuando el Rey supo del problema de los hijos de los Iglesias-Montero les llamo para preocuparse por su estado, hoy Pablo Iglesias le ha negado el saludo, poco más que añadir.</t>
  </si>
  <si>
    <t>Antisistema.</t>
  </si>
  <si>
    <t>Dios: Que buen vasallo si tuviese un buen señor. Por España, por Castilla. Por una España democrática y libre. Combatiendo lo injusto.</t>
  </si>
  <si>
    <t>JC.Rodriguez.Navarro</t>
  </si>
  <si>
    <t>🔴Esto es un sin vivir. 😅😅😅 Dicen que todo lo malo se pega, y es verdad. Ahora resulta que #ElCchepa @Pablo_Iglesias_ de @ahorapodemos PLAGIA al MAMPORRERO de @sanchezcastejon del @PSOE 🤣🤣🤣🤣🤣</t>
  </si>
  <si>
    <t>https://pbs.twimg.com/media/DtzWVd_WsAA5sKX.jpg</t>
  </si>
  <si>
    <t>Maria Trindade</t>
  </si>
  <si>
    <t>Santo Tome  ( Jaén)</t>
  </si>
  <si>
    <t>Emprendedor en el sector de la madera. Emigrante retornado, avergonzado de ver, a su País destrozado, corrupto por una casta política mediocre y sin Justicia.</t>
  </si>
  <si>
    <t>Samuel</t>
  </si>
  <si>
    <t>#AR07D Lo de @Pablo_Iglesias_ es una vergüenza... mucho "social" "social" pero el sigue con su chalet y sin dar ejemplo respecto a lo que crítica ¿cuantos inmigrantes tiene recogidos en su vivienda? el servicio del hogar no cuenta, si lo tiene</t>
  </si>
  <si>
    <t>Portugal</t>
  </si>
  <si>
    <t>Contador Publico (UCV). Amante de la Libertad y la Verdad. Solo la verdad nos hara libres</t>
  </si>
  <si>
    <t>La carta viral de un andaluz a Iglesias: "Cuando usted predica pobreza pero se compra un chalé, nace un fascista"  vía @20m</t>
  </si>
  <si>
    <t>Elena Sevillano</t>
  </si>
  <si>
    <t>Querida @laSextaTV ¿Por qué esta el orden alterado? ¿No debería estar @Pablo_Iglesias_ el tercero y @pablocasado_ el cuarto según los datos del propio cuadro?</t>
  </si>
  <si>
    <t>https://www.20minutos.es/noticia/3508831/0/carta-viral-abierta-andaluz-medico-pablo-iglesias-cuando-usted-predica-pobreza-pero-compra-chale-nace-fascista-elecciones-andalucia-2018-podemos-vox/?utm_source=twitter.com&amp;utm_medium=socialshare&amp;utm_campaign=mobile_web</t>
  </si>
  <si>
    <t>https://pbs.twimg.com/media/DtzWXyLWoAEQ5PM.jpg</t>
  </si>
  <si>
    <t>Excedencia en BomberosCM, diputada Podemos Asamblea de Madrid. Consejera @PodemosCMadrid como Secretaria Movimiento Popular y relación con S. civil y sindicatos</t>
  </si>
  <si>
    <t>No te pierdas a @Pablo_Iglesias_ hoy a las 14:30h en el “Diario de las Dos” en RNE</t>
  </si>
  <si>
    <t>https://pbs.twimg.com/media/DtzWRNeX4AIHF35.jpg</t>
  </si>
  <si>
    <t>l'ingiusto Alisa 51</t>
  </si>
  <si>
    <t>Ministerio de Justicia: Pena de prisión de 1 a 4 años para Pablo Iglesias por delito de Odio - Sign the Petition!  via @Change</t>
  </si>
  <si>
    <t>http://chng.it/FtN2zkQ5</t>
  </si>
  <si>
    <t>la que puede puede y si no que aplauda.No envidien cada cual brilla con luz propia</t>
  </si>
  <si>
    <t>Casa de @Pablo_Iglesias_ e @Irene_Montero_ . Siguen en el mismo barrio? Siguen saludando a los mismos vecinos o empiezan a saludar como vecinos a capitalistas? RT @HispanoVisigoda: Este tuit va dirigido a los jóvenes y jóvenas de España: Desde aquí, ver fotos, se dirigen los discursos a las hordas comunistas, nazionalistas y anarquistas de nuestro país. Nota. Hay que ser tonto y tonta para seguir la corriente de este millonario comunista.</t>
  </si>
  <si>
    <t>Luis.M</t>
  </si>
  <si>
    <t>Por un mundo mas Libre y lleno de Igualdad .La Revolución es el Festival de los Oprimidos , la cultura es el poder del Pueblo. Ateo y mucha SALUD !!</t>
  </si>
  <si>
    <t>🔴Amigos y españoles de bien. Buenos días y RECORDAR. Si teniendo un código PENAL que puede condenar al #ElChepas alias @Pablo_Iglesias_ y @ahorapodemos ¿A que espera la Fiscalía del Estado? 🤔🤔🤔🤔🤔</t>
  </si>
  <si>
    <t>https://pbs.twimg.com/media/DtzSHXFXQAAbU4N.jpg</t>
  </si>
  <si>
    <t>IreneMalagamba🇪🇸</t>
  </si>
  <si>
    <t>Bertin Osborne hunde en la miseria a Pablo Iglesias</t>
  </si>
  <si>
    <t>https://www.periodistadigital.com/</t>
  </si>
  <si>
    <t>Andrelo ⚡</t>
  </si>
  <si>
    <t>Ey @Pablo_Iglesias_ @pablocasado_ @Albert_Rivera @sanchezcastejon @KRLS @gabrielrufian ya podéis ejercer vuestro derecho de oposición a entrar en las bases ideológicas de la Ley de Protección de #Datos que TODOS votásteis en el Congreso:  #Stop1984</t>
  </si>
  <si>
    <t>2018, este es mi buen año 🤞</t>
  </si>
  <si>
    <t>http://libertadinformacion.cc/formulario-de-acceso-oposicion-y-supresion-de-datos-1/</t>
  </si>
  <si>
    <t>Dakar, Senegal</t>
  </si>
  <si>
    <t>"Viva usted ahora las preguntas. Quizá luego, poco a poco, sin darse cuenta, vivirá un día lejano entrando en la respuesta." Rilke</t>
  </si>
  <si>
    <t>http://www.pipasdecoco.com</t>
  </si>
  <si>
    <t>Juan Casamayor</t>
  </si>
  <si>
    <t>se puede gritar muy alto, pero nunca se dirá o escribirá mas claro. Gracias Jordi Serrano i Blanquer</t>
  </si>
  <si>
    <t>Kiry Tekantaba</t>
  </si>
  <si>
    <t>Miren @agarzon @Pablo_Iglesias_ @ierrejon ¿Es esto lo que buscan?</t>
  </si>
  <si>
    <t>https://www.google.es/amp/s/www.elconfidencial.com/amp/elecciones-andalucia/2018-11-28/marinaleda-sanchez-gordillo-hundimiento-utopia-comunista_1671666/</t>
  </si>
  <si>
    <t>No se canta porque se es feliz; se es feliz porque se canta.</t>
  </si>
  <si>
    <t>máxima que me mantiene vivo PREFIERO MORIR DE PIE QUE VIVIR SIEMPRE ARRODILLADO luchador incansable contra las desigualdades, corruptos y pobreza del mundo</t>
  </si>
  <si>
    <t>DIALOGUÍN 💯</t>
  </si>
  <si>
    <t>El fascista @Santi_ABASCAL en su juventud, disfrutando sin contratiempos en la Universidad El socialdemócrata escandinavo @Pablo_Iglesias_ en su juventud, siendo oprimido y amenazado por el fascismo, en la Universidad</t>
  </si>
  <si>
    <t>Mathu_salen</t>
  </si>
  <si>
    <t>https://pbs.twimg.com/media/DtzRqlgW4AAHvCm.jpg</t>
  </si>
  <si>
    <t>#DIALOGONOTICIAS</t>
  </si>
  <si>
    <t>ZP normalizó la palabra #Diálogo,un instrumento conciliador pero,limitado frente a posiciones radicales, y la convirtió demagógicamente en sinónimo de Solución</t>
  </si>
  <si>
    <t>Jubilado en activo.</t>
  </si>
  <si>
    <t>Bruselense</t>
  </si>
  <si>
    <t>Casta casposa, látigo de peluqueros, adalid de los rastas, enemigo del champú: ese es @Pablo_Iglesias_ @ahorapodemos @COPE @carlosherreracr @HerreraenCOPE #Podemos #Constitución RT @periodistadigit: De la casta.... a la caspa</t>
  </si>
  <si>
    <t>https://twitter.com/periodistadigit/status/1070936976856109056
https://www.periodistadigital.com/periodismo/prensa/2018/12/07/payasada-casposa-podemos-cuelan-logo-republica-marca-champu-wella-balsam-pablo-iglesias.shtml</t>
  </si>
  <si>
    <t>Bruselas</t>
  </si>
  <si>
    <t>Observador de la realidad política y social internacional: en defensa de la vida, la familia y la libertad religiosa</t>
  </si>
  <si>
    <t>Pako Galán</t>
  </si>
  <si>
    <t>http://bruselense.wordpress.com</t>
  </si>
  <si>
    <t>Los nazis también eran personas normales con motivos para estar enfadados, como los votantes de VOX:</t>
  </si>
  <si>
    <t>Guardaespaldas</t>
  </si>
  <si>
    <t>Después de lo visto en el día de ayer, ahora nos podemos reír bien de @ahorapodemos, @Pablo_Iglesias_ y demás: 'Los diputados de Podemos, con Pablo Iglesias a la cabeza, exhibirán un nuevo símbolo republicano". MENUDO ÉXITO. En eso han dejado su república</t>
  </si>
  <si>
    <t>https://www.elmundo.es/espana/2018/12/05/5c077ff921efa086208b475c.html</t>
  </si>
  <si>
    <t>BOOMERANGG1</t>
  </si>
  <si>
    <t>Cuando veo a Pablo Iglesias con su grupo alrededor de el.....me recuerda a los vídeos de Michael Jackson de Thriller.....y es que sin el show de acompañamiento no es NADA......ni se le parece,sólo da el cante....</t>
  </si>
  <si>
    <t>Seguid así y vuestras nietas llevarán burka.</t>
  </si>
  <si>
    <t>Español sin complejos. Al tanto de la actualidad, tecnologia, Diseño 3D, Project Manager. Desearia que la honradez y la humildad sean el prólogo</t>
  </si>
  <si>
    <t>Juan Alvite</t>
  </si>
  <si>
    <t>Curiosos los comentarios de youtube en la entrevista a Abascal. Al igual que en el caso de @Pablo_Iglesias_ mucha crítica a la presentadora, con la diferencia de que se sustituyen calificativos sobre su periodismo por el de “puta” y “zorra” #PeroVOXnoEsMachismo</t>
  </si>
  <si>
    <t>Buenísima la reflexión. Carta al tipo que mandó una carta a Pablo Iglesias - Público</t>
  </si>
  <si>
    <t>Podemista, Madrileño, Otaku orgulloso, apasionado de La Música y convencido demócrata a pesar de nuestra patética democracia.</t>
  </si>
  <si>
    <t>Gema Tamarit Serrano</t>
  </si>
  <si>
    <t>Escándalo en Justicia @Pablo_Iglesias_ @ierrejon #OposicionesTongoJusticia #OposicionLIBREenJUSTICIA</t>
  </si>
  <si>
    <t>https://www.elindependiente.com/economia/2018/12/07/escandalo-en-justicia-opositores-acusan-a-gobierno-y-sindicatos-de-regalar-plazas-a-interinos/</t>
  </si>
  <si>
    <t>Leo U.Z.E. Arahal</t>
  </si>
  <si>
    <t>Al médico de la carta a Pablo Iglesias se le ha olvidado poner que "El árbol de Navidad de la Corredera crea fascistas"</t>
  </si>
  <si>
    <t xml:space="preserve">En el Ruedo </t>
  </si>
  <si>
    <t>Hola soy Leo el nuevo funcionario perruno del ayuntamiento... Me olía que iba a destacar por ser perro pero me siento como en casa... ¿PARODIA?</t>
  </si>
  <si>
    <t>Alberto Pernías ن</t>
  </si>
  <si>
    <t>La falta de respeto de @Pablo_Iglesias_ @Irene_Montero_ x aquellos q se preocuparon x la salud de sus hijos demuestra q la traición, falta de solidaridad y cobardía es inherente a la extrema izquierda española</t>
  </si>
  <si>
    <t>M. Reyes. M.</t>
  </si>
  <si>
    <t>Aqui vemos a Pablo Iglesias recibiendo consejos del caudillo RT @21_luky: @okdiario @Santi_ABASCAL @vox_es Y yo está,</t>
  </si>
  <si>
    <t>Siempre en la oposición</t>
  </si>
  <si>
    <t>Castellano de Talavera, donde no hay Rey, ni Dios, ni Semana Santa. Buscando ser el Hilaríon de Sabina. 13...y nada más.</t>
  </si>
  <si>
    <t>https://twitter.com/21_luky/status/1071321486865195008</t>
  </si>
  <si>
    <t>https://pbs.twimg.com/media/Dt4ZNGkXcAAUokz.jpg</t>
  </si>
  <si>
    <t>El kaos inunda España y el @PSOE es cómplice de todo esto. Se debe implantar el ART 155 ya y procesar a @Pablo_Iglesias_ por enaltecimiento al terrorismo. Él desde su escaño a incitado e invitado a esto. @vox_es @PPopular @CiudadanosCs @interiorgob @justiciagob @Defensagob RT @sterlingmrch: Ayer, los CDR dejaron el barrio de Sant Pere Nord (Terrassa) como un campo de guerra. Oye @sanchezcastejon, ¿Piensas pronunciarte sobre esta ola de violencia ultraizquierdista o andas muy liado con el salpicón de vieiras del Falcon?</t>
  </si>
  <si>
    <t>https://twitter.com/sterlingmrch/status/1070955912712634373</t>
  </si>
  <si>
    <t>pic.twitter.com/rhZ1JyljNU</t>
  </si>
  <si>
    <t>Nos Manipulan 🔊</t>
  </si>
  <si>
    <t>Arturo, perfecta definición de Pablo Iglesias y de sus seguidores (Pedro Sanchez incluido entre sus seguidores) RT @perezreverte: "Frente a una multitud analfabeta o con escasa cultura, un tirano, pero también un revolucionario, pueden lograr resultados sorprendentes. Se encuentran ante una masa homogénea que se dejará mover con sólo una palanca". (Ernst Jünger)</t>
  </si>
  <si>
    <t>Rafae</t>
  </si>
  <si>
    <t>Si tienes unos minutos te recomiendo este artículo. @agarzon e @Pablo_Iglesias_ a vosotros también.</t>
  </si>
  <si>
    <t>Barcelona, España 🇪🇸</t>
  </si>
  <si>
    <t>https://ctxt.es/es/20181205/Firmas/23290/vox-fascismo-corden-sanitario-andalucia-nacioanlcatolicismo.htm</t>
  </si>
  <si>
    <t>➡️ Soy Español y no soy facha, soy Catalan y no soy independentista. Son dos cosas difíciles de entender para los populistas manipulados de la ‘Raza Superior’.</t>
  </si>
  <si>
    <t>Córdoba, España</t>
  </si>
  <si>
    <t>Adoro mi tierra. Me gusta viajar y conocer nuevas cosas.</t>
  </si>
  <si>
    <t>Jesús Uría</t>
  </si>
  <si>
    <t>espainiakobeldurrikgabe</t>
  </si>
  <si>
    <t>Aquí cuando @Pablo_Iglesias_ era el pueblo, vivía en un barrio y su líder era el comandante #chavez Ahora un #comunista de salón, rancio, con un gran chalet y #casta. Vaya batacazo se va a dar la #extremaizquierda cuando el okupa convoque elecciones RT @OrbitaEduardo: En este homenaje del Chepas a H. Chaves en 2015, dice que los ESCRACHES son su mejor y más temerosa arma. Animo a todos a regalarle a este payaso, muchos "escraches", llenenlo de ese preciado regalo que tanto le gusta hasta que se harte.</t>
  </si>
  <si>
    <t>https://twitter.com/orbitaeduardo/status/1070791475988975617</t>
  </si>
  <si>
    <t>Bilbao España</t>
  </si>
  <si>
    <t>https://www.facebook.com/profile.php?id=100011075051553</t>
  </si>
  <si>
    <t>Doliente de la situación actual de #España: separatistas, podemitas, proetarras, moros y políticos mediocres 🇪🇸🇪🇸🇪🇸🇪🇸🇪🇸🇪🇸🇪🇸</t>
  </si>
  <si>
    <t>Muten Master</t>
  </si>
  <si>
    <t>El señor @Pablo_Iglesias_ no tiene nada que ver con esto, ni el mamporrero @agarzon que conste RT @numer344: Pacíficos independentistas persiguen al fascista Álvaro de Marichalar para regalarle una rosa. La alerta antifascista sigue su cauce: unos zarandean el árbol y otros recogen los frutos. ¿A qué me sonará eso?</t>
  </si>
  <si>
    <t>https://www.facebook.com/groups/1523383624657240/?fref=nf</t>
  </si>
  <si>
    <t>https://twitter.com/numer344/status/1070725609188417541</t>
  </si>
  <si>
    <t>pic.twitter.com/gHkjx4Hpw5</t>
  </si>
  <si>
    <t>pareció una buena idea</t>
  </si>
  <si>
    <t>El Feminista</t>
  </si>
  <si>
    <t>Lo de la República feminista de @ahorapodemos @Pablo_Iglesias_ esto es la payasada más grande que he visto en mi vida. Hay que ser retrasado mental para proponer una república feminista. Una república perfecto . Pero una rep feminista. Estos tíos están colgados...</t>
  </si>
  <si>
    <t>feminista y machista sevilla y alrededores me encanta lo que hago y lo que digo . abogado,abogada,profesor,profesora,guarda jurado/jurada/loca/loco/astronauta</t>
  </si>
  <si>
    <t>Que vas a esperar de un cobarde como @Pablo_Iglesias_ Es muy fácil hablar desde el casoplón de 600.000 + la otra parte en B, mientras los de abajo en la calles. La militancia de Podemos arde contra Pablo Iglesias: "Pablo, cállate y haz autocrítica"</t>
  </si>
  <si>
    <t>https://okdiario.com/espana/2018/12/05/foros-militancia-podemos-arden-contra-iglesias-pablo-callate-haz-autocritica-3427399/amp</t>
  </si>
  <si>
    <t>Ana P.Serrano  💜</t>
  </si>
  <si>
    <t>La importancia de las palabras. Ser fascista no es porque alguien se lo llame (o se autodefina, cosa dificil) es por su actitud ante diversas situaciones, comentarios y/o...</t>
  </si>
  <si>
    <t>💜Madre. Empresaria de Turismo rural Asturias y restauracion en Madrid. Progresista comprometida. Justicia y libertad son mis banderas.</t>
  </si>
  <si>
    <t>http://www.lacasona-priorio.es</t>
  </si>
  <si>
    <t>WAR</t>
  </si>
  <si>
    <t>Buenos días @Pablo_Iglesias_ A que hora es la manifa por los incidentes de la extrema izquierda ayer en Girona? Es para un amigo...😑</t>
  </si>
  <si>
    <t>Everything's no lost!</t>
  </si>
  <si>
    <t>Todo lo que me gusta es ilegal, es inmoral o engorda!!!</t>
  </si>
  <si>
    <t>Kasta kastisky</t>
  </si>
  <si>
    <t>Los ultimos días: Los indepes haciendo ayunos por relevos (me meo). Los periodistas falseando estadísticas de denuncias falsas. Pablo Iglesias hablando de repúblicas feministas. ¿PERO QUERÉIS ESPABILAR DE UNA PUTA VEZ Y DEJAR DE HACER LA PUTA CAMPAÑA A VOX?</t>
  </si>
  <si>
    <t>RR NEWS</t>
  </si>
  <si>
    <t>El daño tremendo que @Pablo_Iglesias_ hace al feminismo cada vez que dice que quiere una república feminista en España. ¿Qué puñetes es eso? El feminismo no es de izquierdas ni de derechas, es la lucha histórica de las mujeres por la igualdad real.</t>
  </si>
  <si>
    <t xml:space="preserve"> Langreo - Rotterdam </t>
  </si>
  <si>
    <t>Cuenta oficial de kasta kastisky kastinho, verificao.</t>
  </si>
  <si>
    <t>Murcia-Spain</t>
  </si>
  <si>
    <t>Periodista. Cuenta personal. Art. 20 Constitución huevoleaks@gmail.com</t>
  </si>
  <si>
    <t>sebiya</t>
  </si>
  <si>
    <t>Os cuento una paradoja? Dicen que fachas son los de vox pero en la rae pone que el fascismo es la corriente politica que no acepta otras ideas. Pablo iglesias dice ser antifascista pero no acepta los resultados democraticos de las elecciones. Quien es el fascista aqui? Pablo🤩</t>
  </si>
  <si>
    <t>HispanoRomano</t>
  </si>
  <si>
    <t>Espanya</t>
  </si>
  <si>
    <t>Zpedro @sanchezcastejon cumfraude y @Pablo_Iglesias_ el de la mansión de Galapagar... 🤣🤣🤣 vaya casta!!! RT @orue_s: El logo «republicano» de Podemos es una copia de un diseño que cuesta 1,99 euros</t>
  </si>
  <si>
    <t>viva españa, generalmente criticas constructivas. Autónomos estoy con vosotros ante el gobierno nefasto que os ahoga</t>
  </si>
  <si>
    <t>https://twitter.com/orue_s/status/1070935946454097920</t>
  </si>
  <si>
    <t>https://pbs.twimg.com/media/Dty6j8jW4AAMjXe.jpg</t>
  </si>
  <si>
    <t>No hay nada más grande que España...</t>
  </si>
  <si>
    <t>Jag.Valdezate</t>
  </si>
  <si>
    <t>Una página para la historia Todos los 6 de diciembre se recordará la extraordinaria hazaña y presentación solemne del nuevo logo de la #República @Pablo_Iglesias_ anunció este símbolo para una nueva república Será un chasco memorable hasta el fin de los tiempos @ahorapodemos</t>
  </si>
  <si>
    <t>https://pbs.twimg.com/media/DtzKYloXgAAaj-n.jpg</t>
  </si>
  <si>
    <t>Juan Gabriel Alonso</t>
  </si>
  <si>
    <t>¿Es mi imaginación o Pablo Iglesias se está quedando calvo? Si pierde la coleta ¿con qué va a taparse la chepa? RT @arturelpayaso2: Pablo Iglesias en La Sexta: "Me da vergüenza como español que la extrema derecha esté en las instituciones". Pues sí, señoras y señores, pedazo de titular: Pablo Iglesias es español.</t>
  </si>
  <si>
    <t>Abro el tuiter y brindo por el viejo sueño: на здоро́вье! Cheers! Salut! Prost! ¡Por el viejo sueño! To the Old Dream! Toast den alten Traum! Тост давняя мечта!</t>
  </si>
  <si>
    <t>http://jagvaldezate.blogspot.com.es/</t>
  </si>
  <si>
    <t>https://twitter.com/arturelpayaso2/status/1070319016483414021</t>
  </si>
  <si>
    <t>pic.twitter.com/eeLeayDMFw</t>
  </si>
  <si>
    <t>“Ninguna prueba, ninguna rectificación ni desmentido puede anular el efecto de una publicidad bien hecha. ”</t>
  </si>
  <si>
    <t>Curro Troya 💪🏻</t>
  </si>
  <si>
    <t>.@Pablo_Iglesias_ insistía ayer en su entrevista en @EL_PAIS con motivo de #40AñosDeConstitución en el derecho de la autodeterminación "de los pueblos": una forma estupenda de seguir dividiendo este país. No se ha enterado de lo que ha pasado en #Andalucía</t>
  </si>
  <si>
    <t>I'm sorry, I'm just a journalist. My job is not being your pleaser.</t>
  </si>
  <si>
    <t>http://unpobrecitohablador.tumblr.com/</t>
  </si>
  <si>
    <t>fyr</t>
  </si>
  <si>
    <t>Si a ti @Pablo_Iglesias_ te da vergüenza que exista @vox_es , a nosotros, a muchos nos da asco que exista usted!!</t>
  </si>
  <si>
    <t>rumana de nacimiento, española de corazón!!! El que no conoce el comunismo- que lo viva -pero fuera de 🇪🇸</t>
  </si>
  <si>
    <t>César Yuste Prieto</t>
  </si>
  <si>
    <t>«Quien ve a gente de su comunidad despidiendo a policías nacionales y guardias civiles al grito de “a por ellos” y no protesta, es que es un fascista»</t>
  </si>
  <si>
    <t>Hamburg SFC</t>
  </si>
  <si>
    <t>El fascismo totalitario de los amigos y seguidores de @Pablo_Iglesias_ @gabrielrufian Torra, Puigdemont, y protegidos de @sanchezcastejon RT @Bcnisnotcat_: ¡¡ATENCIÓN!! Pedimos ayuda a toda #España. Los separatistas están provocando altercados en toda Cataluña. Han escogido el día de la Constitución para tomar las calles. Los medios lo silencian. Ya no podemos más. EXIJIMOS QUE SE APLIQUE EL ARTÍCULO 155. A qué espera el presidente?</t>
  </si>
  <si>
    <t>Periodista que maneja código web y programación. Reconvertido en gris auxiliar administrativo. Me creo lo de que los funcionarios estamos al servicio ciudadano.</t>
  </si>
  <si>
    <t>http://cesar.yusteprieto.es</t>
  </si>
  <si>
    <t>Baviera, Alemania</t>
  </si>
  <si>
    <t>🇮🇸🇪🇸</t>
  </si>
  <si>
    <t>Francisco Pizarro ❌ 🇪🇸</t>
  </si>
  <si>
    <t>Normal que tengáis miedo @eajpnv @PSOE @Esquerra_ERC @Pablo_Iglesias_ @agarzon @pnique @ehbildu se os acaba el chollo cortijero, sinverguenzas Viva España 🇪🇸🇪🇸🇪🇸 RT @elmundoes: Vox exige devolver al Estado las competencias de educación y sanidad a cambio de su apoyo. También quiere suprimir Canal Sur</t>
  </si>
  <si>
    <t>https://twitter.com/elmundoes/status/1070380042604216321
https://trib.al/WLRS4ph</t>
  </si>
  <si>
    <t>Jose Serrano Ponz</t>
  </si>
  <si>
    <t>Para que se lo lean atentamente y vean una verdad que les duele de verdad, no busquen otros culpables @Pablo_Iglesias_ @sanchezcastejon @pnique @Irene_Montero_ @susanadiaz @agarzon Sedella, de pueblo 'rojo' a pueblo 'facha' en 24 horas  vía @elmundoes</t>
  </si>
  <si>
    <t>Pablo Iglesias se desespera al quedarse solo en su "cacería" al Rey Juan Carlos - ESdiario.</t>
  </si>
  <si>
    <t>José Antonio N.</t>
  </si>
  <si>
    <t>Siempre se dice que lo primero son las personas. Piensen igual o diferente que tú. Pues cuando el Rey supo del problema de los hijos de los Iglesias-Montero les llamo para preocuparse por su estado, ayer @Pablo_Iglesias_ le ha negado el saludo. Poco más que añadir.</t>
  </si>
  <si>
    <t>juan carlos vivas</t>
  </si>
  <si>
    <t>Buena y contundente respuesta al fascismo mentiroso emergente de estos días.</t>
  </si>
  <si>
    <t>Granollers (Barcelona),España</t>
  </si>
  <si>
    <t>Madrid.</t>
  </si>
  <si>
    <t>Concejal y portavoz de C's @CsCanovelles en Ayto. de Canovelles @CiutadansCs @CiudadanosCs Mi pasión se llama Duna 🐶. Català y Español</t>
  </si>
  <si>
    <t>No tenemos remedio a corto plazo. A largo.. tampoco. Somos en este país una panda de irrecuperables.</t>
  </si>
  <si>
    <t>Carlos CG</t>
  </si>
  <si>
    <t>El señor @Pablo_Iglesias_ no le da el protocolario saludo al rey, la cosa cambia si el saludo es por una beca. “Estos son mis principios, pero sino le gusta, tengo otros” (G Marx)</t>
  </si>
  <si>
    <t>https://pbs.twimg.com/media/DtzIvnxXcAEzp8d.jpg</t>
  </si>
  <si>
    <t>Córdoba</t>
  </si>
  <si>
    <t>Ingeniero tecnico industrial. Tecnico en topografia. Gerente ingescor y ccg informatica</t>
  </si>
  <si>
    <t>http://www.ingescor.es</t>
  </si>
  <si>
    <t>Más comentados ahora en Derecha/Centro Dcha.: ➀ @sanchezcastejon ↑ ➁ @ahorapodemos ↑ ➂ @Miotroyo2parte ↑ ➃ @lasvocesdelpue ↑ ➄ @FrayJosepho ↑ ➅ @dlacalle ↑ ➆ @agarzon ↑ ➇ @PPopular ↑ ➈ @Pablo_Iglesias_ ↑</t>
  </si>
  <si>
    <t>Más influyentes ahora en Izquierda/Centro Izqda.: ➀ @Panik81 ↑ ➁ @diostuitero ↑ ➂ @dbravo ↑ ➃ @ramonlobo ↑ ➄ @ErnestoEkaizer ↑ ➅ @Pablo_Iglesias_ ↑ ➆ @MundoBurbu ↑ ➇ @Yo_Soy_Asin ↑ ➈ @iunida ↑ ➉ @Mongolear ↑</t>
  </si>
  <si>
    <t>tio chabó #StopTTIP ❤️💛💜</t>
  </si>
  <si>
    <t>Burujon (Toledo)</t>
  </si>
  <si>
    <t>Luchando dia a dia contra el mal humor, republicano, de izquiedas y soñador. Te informo de lo que pasa diariamente. !!Salud y Republica!!......☭☭☭</t>
  </si>
  <si>
    <t>http://paper.li/lobo_solito/1343408781</t>
  </si>
  <si>
    <t>antonio garciat</t>
  </si>
  <si>
    <t>Los actos irresponsables de @QuimTorraiPIa y @Pablo_Iglesias_ entre otros, ¿cuando tendrán respuesta legal y contundente por suponer una llamada que puede ser tipificada como “incitación al odio y la violencia” ?</t>
  </si>
  <si>
    <t>Manuela</t>
  </si>
  <si>
    <t># Derecha sin derecho.."Pablo Iglesias es responsable del clima violento contra VOX" Santiago Abascal..Mitin contra VOX, PP y Cs de la portavoz del Gobierno, Isabel Celáa.Videos 3 .GranCanariaT..!!</t>
  </si>
  <si>
    <t>https://toyyyestudiando.blogspot.com/2018/12/derecha-sin-derechopablo-iglesias-es.html?spref=fb</t>
  </si>
  <si>
    <t>LEON_EL_BIERZO</t>
  </si>
  <si>
    <t>APRENDIZA DE LA VIDA</t>
  </si>
  <si>
    <t>http://merianmi.wordpress.com/</t>
  </si>
  <si>
    <t xml:space="preserve">San Juan de Alicante </t>
  </si>
  <si>
    <t>#Regeneracion2019 @popularesSJ Lic. Sociología y con un Master, si! GD/RRHH Me lo contaron y lo olvidé; lo vi y lo entendí, lo hice y lo aprendí. NoTrolls🇪🇸</t>
  </si>
  <si>
    <t>Las Voces del Pueblo 🇪🇸</t>
  </si>
  <si>
    <t>CDR y ultraizquierda de Pablo Iglesias atropellan y arrastran a un vecino de Terrasa por la rambla</t>
  </si>
  <si>
    <t>https://www.lasvocesdelpueblo.com/cdr-y-ultraizquierda-de-pablo-iglesias-atropellan-y-arrastran-a-un-vecino-de-terrasa-por-la-rambla/</t>
  </si>
  <si>
    <t>Cuando los sindicatos mandan y hasta controlan la policia.... En Uruguay la izquierda mantiene el poder desde hace 15 años. Por eso quería @Pablo_Iglesias_ controlar el ministerio del interior RT @MartinP39777865: Laboratorio Pro Lab.... observen la soberbia de estos sindicalistas!!! El flaco de barbita se cree la gran cosa... Tomando decisiones sobre la vida de las personas. Esto es lo que nos trajo el FA!!!</t>
  </si>
  <si>
    <t>https://twitter.com/martinp39777865/status/1070806928178245632</t>
  </si>
  <si>
    <t>pic.twitter.com/8Gz2csDlP6</t>
  </si>
  <si>
    <t>Diario dedicado a noticias sobre el separatismo en Cataluña. Ñ Pueblo, Pueblo Ñ, Ñ</t>
  </si>
  <si>
    <t>http://www.lasvocesdelpueblo.com/</t>
  </si>
  <si>
    <t>ESTUDIANDO Creciendo y Tu ¿?: # Derecha sin derecho.."Pablo Iglesias es respons...</t>
  </si>
  <si>
    <t>https://toyyyestudiando.blogspot.com/2018/12/derecha-sin-derechopablo-iglesias-es.html?spref=tw</t>
  </si>
  <si>
    <t>Constitución Española Todos los españoles tienen derecho a disfrutar de una vivienda digna y adecuada. Se escribe así verdad @Pablo_Iglesias_ @pablocasado_ @Albert_Rivera @sanchezcastejon ? Via @eljueves</t>
  </si>
  <si>
    <t>https://pbs.twimg.com/media/DtzCJo3XcAAmLqc.jpg</t>
  </si>
  <si>
    <t>Oye @Pablo_Iglesias_ en @ahorapodemos esto es plagio y si está registrado es penal</t>
  </si>
  <si>
    <t>Edgar J. LorCa</t>
  </si>
  <si>
    <t>Mira que Pablo Iglesias me gusta poco, pero coincido con él en la definición de VOX: es el PP sin complejos RT @MorenoG_Agustin: Qué clarito que tiene @Pablo_Iglesias_ quién es Vox: No son nuevos, vienen del PP: son una corriente aznarista y de Esperanza Aguirre; son el PP sin complejos: Son la corriente franquista del Partido Popular.</t>
  </si>
  <si>
    <t>https://pbs.twimg.com/media/DtzA42DXQAAtfJa.jpg</t>
  </si>
  <si>
    <t>Paris, France</t>
  </si>
  <si>
    <t>Vendrán las iguanas vivas a morder a los hombres que no sueñan.</t>
  </si>
  <si>
    <t>calpernia</t>
  </si>
  <si>
    <t>La España 🇪🇸 moderna según @Pablo_Iglesias_ @ahorapodemos pasa por la #Tinaja del #Casoplón de #LosMarquesesDeGalapagar</t>
  </si>
  <si>
    <t>TODO ES MENTIRA, ahí lo dejo</t>
  </si>
  <si>
    <t>PSOE San Pedro Alcántara</t>
  </si>
  <si>
    <t>Acto 93º aniversario del fallecimiento de Pablo Iglesias Posse, fundador del PSOE y de la UGT Unión General de Trabajadores 📅 Domingo, 9 de diciembre de 2018 🕛 12:00 horas, en los Jardines de Picasso de #Málaga</t>
  </si>
  <si>
    <t>DeTalavera</t>
  </si>
  <si>
    <t>https://pbs.twimg.com/media/Dt4V726WkAA3LQC.jpg</t>
  </si>
  <si>
    <t>Visto en Facebook @ahorapodemos @Pablo_Iglesias_ La casta...que en cuatro años pasa de vivir en Vallecas a un chalezaco de 700.000 pavos en Galapagar con servicio y seguridad privada...piden que toméis las calles y vais vosotros y salís...sois mentira, cinismo e hipocresia.</t>
  </si>
  <si>
    <t>https://pbs.twimg.com/media/DtzAFNsXgAEGGmX.jpg</t>
  </si>
  <si>
    <t>San Pedro Alcántara, Málaga</t>
  </si>
  <si>
    <t>Agrupación del @PSOE en #SanPedroAlcántara. Trabajamos por la igualdad y el bienestar de todos los sampedreños y sampedreñas. #MirandoAlFuturo con @manugarro</t>
  </si>
  <si>
    <t>http://www.psoesanpedroalcantara.es</t>
  </si>
  <si>
    <t>Felizmente casado, padre de familia, español, autónomo, F1, Alonsista, del CF Talavera, FS Talavera y FC Barcelona. Antipopulista. Sin faltar a nadie.</t>
  </si>
  <si>
    <t>Nomaguanto</t>
  </si>
  <si>
    <t>Myotheryo</t>
  </si>
  <si>
    <t>Lo de #papelesparatodos se te pasa cuando los dominicanos del 3°dcha estan hasta el amanecer con el reageton y los senegaleses del primero (ocupado) usan el rellano como almacen/basurero. #estoenGalapagarnopasa verdad @Pablo_Iglesias_ @pnique</t>
  </si>
  <si>
    <t>Y cuando pensaba que este pais no tenía solucion... aparecio un rayo de esperanza</t>
  </si>
  <si>
    <t>Juan Antonio Bauza</t>
  </si>
  <si>
    <t>Pablo Iglesias es el mayor enemigo de la democracia  vía @elmundoes .Interesante artículo de @tomeumaura .Verdades como puños.</t>
  </si>
  <si>
    <t>Esto señor @Pablo_Iglesias_ @agarzon no es democracia. ¿Esta es su manera de luchar contra la extrema derecha, comportándose como extrema extrema izquierda.</t>
  </si>
  <si>
    <t>https://twitter.com/el_pais/status/1070938472951754752</t>
  </si>
  <si>
    <t>manolo</t>
  </si>
  <si>
    <t>Ministerio de Justicia: Pena de prisión de 1 a 4 años para Pablo Iglesias por delito de Odio - ¡Firma la petición!  vía @Change_Mex</t>
  </si>
  <si>
    <t>Denis</t>
  </si>
  <si>
    <t>En tiempos de Fake con @Pablo_Iglesias_</t>
  </si>
  <si>
    <t>http://chng.it/sMVqTtjk</t>
  </si>
  <si>
    <t>https://youtu.be/Ce0beb0sU70</t>
  </si>
  <si>
    <t>Architect, triathlete/runner/marathoner/Ironman/ ultrarunner/ three dog owner Every mile is magnificent!</t>
  </si>
  <si>
    <t>Ramón Rodríguez</t>
  </si>
  <si>
    <t>Gerard SanBruc</t>
  </si>
  <si>
    <t>Vamos a dejar que “esto” gobierne España??? No por favor...No a @Pablo_Iglesias_ No a @ahorapodemos RT @OrbitaEduardo: En este homenaje del Chepas a H. Chaves en 2015, dice que los ESCRACHES son su mejor y más temerosa arma. Animo a todos a regalarle a este payaso, muchos "escraches", llenenlo de ese preciado regalo que tanto le gusta hasta que se harte.</t>
  </si>
  <si>
    <t>Farmacéutico. Escéptico. Científico. Ancap. Friki. Nerd. Gamer. Otaku... Y seguro que me quedan más cosas en el tintero XD</t>
  </si>
  <si>
    <t>http://visionesdelotrolado.blogspot.com/</t>
  </si>
  <si>
    <t>PSOE de Málaga</t>
  </si>
  <si>
    <t>🌹✊ Estás invitad@ al 93º aniversario del fallecimiento de Pablo Iglesias Posse, fundador del @PSOE y de la @UGT_Comunica 📅 Domingo, 9 de diciembre de 2018 🕛 12:00 horas, en los Jardines de Picasso de #Málaga</t>
  </si>
  <si>
    <t>Cuando la pasión supera a la razón...todo es un sinsentido! Si alguien tiene problemas de identidad, que eche mano a su cartera. Soy europeo, español y catalán.</t>
  </si>
  <si>
    <t>https://pbs.twimg.com/media/Dt4RwfXWoAAaBKg.jpg</t>
  </si>
  <si>
    <t>Málaga, Andalucía</t>
  </si>
  <si>
    <t>Twitter del PSOE de Málaga</t>
  </si>
  <si>
    <t>http://www.psoemalaga.es</t>
  </si>
  <si>
    <t>Proyecto Hipona</t>
  </si>
  <si>
    <t>leed esto igual aprendéis algo Vox sacude los pueblos rojos: No es por los inmigrantes, sino por la caza y los toros ⁦@sanchezcastejon⁩ ⁦@Pablo_Iglesias_⁩ ⁦@agarzon⁩</t>
  </si>
  <si>
    <t>La carta abierta de un vecino de Sedella a Pablo Iglesias cobra especial sentido RT @hermanntertsch: Atacada la sede de VOX en Zaragoza. Se suceden las agresiones comunistas obedeciendo al llamamiento de Iglesias. Solo dará mayor fuerza y contundencia a la respuesta de la España real, sensata y nacional que se dará donde más les duele a los comunistas de Podemos: en las urnas.</t>
  </si>
  <si>
    <t>https://twitter.com/hermanntertsch/status/1071013609126457344
https://twitter.com/s1moron/status/1070984350257299456</t>
  </si>
  <si>
    <t>Biografías, si hablamos desde el punto de vista humano.</t>
  </si>
  <si>
    <t>Belén</t>
  </si>
  <si>
    <t>Buenos días a todos 🇪🇸☕️☕️🇪🇸 y a @Pablo_Iglesias_ en especial 💜💟 porque con su cutre logo republicano nos hizo pasar un mejor #DíaDeLaConstitución os define el ridículo y el populismo desfasado. #FelizViernes</t>
  </si>
  <si>
    <t>#LibertadPresosPoliticos catalanes y absolución de todos los exmiembros del @govern y de la mesa del @parlamentcat A/A @PoderJudicialEs @sanchezcastejon @desdelamoncloa @LolaDelgadoG @justiciagob @Adrilastra @PSOE @Pablo_Iglesias_ @unidos_podemoSND @vendrellj @EnComu_Podem ▼ RT @joanmena: Ahir vam anar a veure la @ForcadellCarme i la @dolorsbassac. Més convençut que mai que una injusta presó preventiva és indigna per qui l’aplica. La via política i el sentit comú han de ser la única sortida</t>
  </si>
  <si>
    <t>Sebastián Cortina</t>
  </si>
  <si>
    <t>https://twitter.com/joanmena/status/1070574276493918208</t>
  </si>
  <si>
    <t>Danilo Albin</t>
  </si>
  <si>
    <t>En este artículo publicado en los diarios del Grupo Vocento critican el "atuendo" de @Pablo_Iglesias_ y @agarzon en el acto de la Constitución. El régimen del 78 tiene hasta uniforme propio.</t>
  </si>
  <si>
    <t>Oscar Alfredo</t>
  </si>
  <si>
    <t>https://pbs.twimg.com/media/Dty7opVXgAEy6sf.jpg</t>
  </si>
  <si>
    <t>Periodista. Colaborador de Público.es. Escribo historias de aquí y allá. Lo importante no es llegar, lo importante es el camino.</t>
  </si>
  <si>
    <t>LoveTheWorld</t>
  </si>
  <si>
    <t>#Stop1984 #NoLOPDGDD #NoConMisDatos Que os quede MUY CLARITO:@PSOE @PPopular @CiudadanosCs @ahorapodemos @iunida @Equo @PartidoPACMA @sanchezcastejon @pablocasado_ @Pablo_Iglesias_ @ierrejon @pnique @TeresaRodr_ @agarzon @Albert_Rivera @Europarl_ES @HablamosdEuropa @ONU_derechos</t>
  </si>
  <si>
    <t>Rafael Fernando</t>
  </si>
  <si>
    <t>Cuido derechosLGBTI&amp;el mundo, cualquier injusticia poniendo mi granito de arena. Love taking care ofLGBTIrights&amp;the world,fighting any injustice doing one´s bit</t>
  </si>
  <si>
    <t>Noticias en Español</t>
  </si>
  <si>
    <t>Antonio</t>
  </si>
  <si>
    <t>República Feminista, Iraní o Venezolana @Pablo_Iglesias_ ? Quitese ya la careta por favor</t>
  </si>
  <si>
    <t>https://trib.al/jZ2VQ3T</t>
  </si>
  <si>
    <t>https://pbs.twimg.com/media/Dty26Y1XgAEh0wC.jpg</t>
  </si>
  <si>
    <t>España y América</t>
  </si>
  <si>
    <t>Todas las noticias en español más importantes del día al alcance de tu dedo. Más últimas horas en @UnaUltimaHora.</t>
  </si>
  <si>
    <t>http://noticiarioespanol.com</t>
  </si>
  <si>
    <t>Sevilla. Spain</t>
  </si>
  <si>
    <t>ESdiario</t>
  </si>
  <si>
    <t>. ⁦@ierrejon⁩ apuñala a ⁦@Pablo_Iglesias_⁩ y critica su "alerta antifascista": "Más autocrítica" - ESdiario.</t>
  </si>
  <si>
    <t>maria isabel boto</t>
  </si>
  <si>
    <t>Tras 16 años con la realidad política, social y empresarial de España, El Semanal Digital se convierte en ESdiario. Su portal de opinión sigue en @ElSemanalD.</t>
  </si>
  <si>
    <t>http://www.esdiario.com</t>
  </si>
  <si>
    <t>Admiro: La justicia.</t>
  </si>
  <si>
    <t>Hispanidad</t>
  </si>
  <si>
    <t>La semana en imágenes. La última horterada de Pablo Iglesias: fraternidad</t>
  </si>
  <si>
    <t>🇪🇸Republicano, cogemela con las dos manos.</t>
  </si>
  <si>
    <t>La fiscalia general del Estado esta tardando en procesar a este delincuente incendiario de @Pablo_Iglesias_ RT @BenemeritosGC: Piden la detención de Pablo Iglesias por ser el promotor de las violentas manifestaciones contra VOX en Andalucía</t>
  </si>
  <si>
    <t>https://www.hispanidad.com/la-semana-en-imagenes/la-semana-en-imagenes-la-ultima-horterada-de-pablo-iglesias-consiste-en-solicitar-fraternidad_12006073_102.html?utm_source=Twitter&amp;utm_medium=Social&amp;utm_content=Post</t>
  </si>
  <si>
    <t>https://twitter.com/BenemeritosGC/status/1070715791329427462
https://www.elmatinal.com/actualidad/piden-la-detencion-de-pablo-iglesias-por-ser-el-promotor-de-las-violentas-manifestaciones-contra-vox-en-andalucia/</t>
  </si>
  <si>
    <t>Soy hetero, ¿y qué?</t>
  </si>
  <si>
    <t>Decano de la prensa digital española. Fundado el 20 de marzo de 1996</t>
  </si>
  <si>
    <t>http://www.hispanidad.com</t>
  </si>
  <si>
    <t>Julito 🇪🇸</t>
  </si>
  <si>
    <t>Dr. Estranyamor</t>
  </si>
  <si>
    <t>El llamamiento de Pablo Iglesias a lo que él entiende por democracia empieza a dar sus frutos. Fascistas quien??? Antidemocráticos quien?? #PodemosEsChavismo #podemosesviolencia RT @s1moron: Así nos hemos desayunado hoy en Zaragoza, con un nuevo ataque de los demócratas de izquierda frente a los fascistas de VOX. Es sarcasmo por supuesto.</t>
  </si>
  <si>
    <t>Hay que pedirle al Comandante Chepas @Pablo_Iglesias_ que circule los manuales antes de soltar a los Chihuahuas de la Guerra... RT @EstadoCharnego: 😂😂😂 Luego que si pierden un ojo o les tuercen un dedo! 😂😂😂</t>
  </si>
  <si>
    <t>https://twitter.com/estadocharnego/status/1070921368903057408
https://twitter.com/tamiroff_/status/1070811592512684032</t>
  </si>
  <si>
    <t>War Room, L'Esquirol (Osona)</t>
  </si>
  <si>
    <t>Ser Español no es una excusa....es una responsabilidad!!! Viva España, Aupa Palencia y Visca el Barça!!!</t>
  </si>
  <si>
    <t>Former German and US agencies adviser. Now helping the provisional new republic of Catalunya to develop its nuke program only for pacific and smiling purposes.</t>
  </si>
  <si>
    <t>Silvia Rua</t>
  </si>
  <si>
    <t>Con cariño para @Pablo_Iglesias_ y.sus cachorros de @ahorapodemos RT @ldpsincomplejos: No, chavales. No somos franquistas, ni fascistas, ni ultras, ni extremistas. Somos personas normales que nos hemos hartado de vuestros insultos, vuestro odio, vuestras imposiciones y vuestra pretendida superioridad moral. Los ultras, los violentos, los totalitarios…sois vosotros</t>
  </si>
  <si>
    <t>https://twitter.com/ldpsincomplejos/status/1070646760383676418</t>
  </si>
  <si>
    <t>Bueu, España</t>
  </si>
  <si>
    <t>ex-presidenta Asoc.Nac.Arnold.Chiari. Radio,prensa,TV. sin cortapisas, darme un micrófono y diré que pienso, partido Pacma,Amo los lobos.sigo a quién me siga.</t>
  </si>
  <si>
    <t>Javier</t>
  </si>
  <si>
    <t>Menos discursos y más preocuparse por los españoles que pueden morir bajo las pezuñas de los CDR azuzados por @QuimTorraiPla y @Pablo_Iglesias_</t>
  </si>
  <si>
    <t>LIcenciado en Derecho. Máster en Dirección y Gestión de RR.HH. Perito calígrafo y lo más importante: Español .</t>
  </si>
  <si>
    <t>Julio Abascal</t>
  </si>
  <si>
    <t>ciudadanaNiurkane</t>
  </si>
  <si>
    <t>Epa "financiados " @Pablo_Iglesias_ @ahorapodemos @MonederoJC Aqui os nombran ! Ay Diosss que putada . En plena campaña para cambiar la constitucion!😱😱😱 RT @DolarToday: SIN PALABRAS... Hugo Chávez regaló más de mil millones de dólares a partidos políticos fuera de Venezuela #TeamHDP</t>
  </si>
  <si>
    <t>https://twitter.com/DolarToday/status/1070908418280570880
https://goo.gl/F2Mx6z</t>
  </si>
  <si>
    <t>Coslada, España</t>
  </si>
  <si>
    <t>Nacido en 1956. Español hasta las trancas y con la necesidad de ver volver a mi país a sus antiguas esencias cristianas y patrióticas</t>
  </si>
  <si>
    <t>Llevo tu luz y tu aroma en mi piel ❤ Soy de derechas</t>
  </si>
  <si>
    <t>Entrevista a Albert Rivera RIVERA es MÁS PELIGROSO que PABLO IGLESIAS 📣 POR LA REPÚBLICA CONSTITUCIONAL, ⚠️ PARTIDOS DE ESTADO,</t>
  </si>
  <si>
    <t>¿Qué es para @Pablo_Iglesias_ luchar por la pobreza...¿?¿?¿?.¿Vivir en un "casoplón" de muchos €,con piscina&amp;jardín,y custodiado "gratis total" por Guardia Civil 24h.,o dormir indigentemente en la calle en cajas de cartón..?.¡A ver si se aclara con su "ejemplo" de caraduras..!!!</t>
  </si>
  <si>
    <t>https://goo.gl/LgNNqq?cqu31=8277049210</t>
  </si>
  <si>
    <t>Diana Plaza</t>
  </si>
  <si>
    <t>Que buena entrevista. Luis Maria Ansón, Presidente del ⁦@elimparciales⁩ con ⁦@Pablo_Iglesias_⁩ . Perfecta para reflexionar sobre #40anosconstitucionespanola #40añosFOM.</t>
  </si>
  <si>
    <t>Coordinadora de Comunicacion y de la Maestría en RI @ortegaygassetmx Docente @ibero_mx. Diploma Olímpico Atlanta’96 #TeamESP. ✍🏼 en @imparciales</t>
  </si>
  <si>
    <t>https://deporteysociedadblog.wordpress.com</t>
  </si>
  <si>
    <t>Franco Tarifa</t>
  </si>
  <si>
    <t>España, sus ciudadanos son una masa que sigue la corriente o va contra ella "porque sí". No es que no lean; es que no entienden lo que leen. Lo cual explicaría como el PP y PSOE ganan elecciones, y que el mitomano de @Pablo_Iglesias_ pueda aspirar a la presidencia. RT @TobyBaxendale: See how close the far right in France and the far left in Spain are concerning their economic policies. As I’ve always contended, they’re both economically socialist. The French variety is national socialism, the Spanish variety international socialism. But socialism anyway.</t>
  </si>
  <si>
    <t>https://twitter.com/TobyBaxendale/status/1070399312469860352
https://twitter.com/LibertadTV_/status/1070303678463119360</t>
  </si>
  <si>
    <t>Periodista y productor. Hincha de River Plate. Aficionado del Real Madrid. Enfermo del rap hispano. Y soy un poco cínico, pero sincero 😉</t>
  </si>
  <si>
    <t>Ana Martín GRANADA❤️🤘❤️</t>
  </si>
  <si>
    <t>Ahora resulta que ser de izquierdas es PEGAR A TODO EL QUE NO PIENSE COMO TÚ Y LO EXPRESE LIBREMENTEI ANTE UNA CÁMARA. ¿Es ésto lo q querías @Pablo_Iglesias_ ? ¿A ésto es a lo que llamabas el otro día? No te parece que te toca REPUDIAR todo ésto o vamos por la 2 guerra civil? RT @NuriaJuiba: Y llega un día en que te das cuenta de que el odio que has proyectado te lo devuelve el karma.... En Girona hoy Marichalar huyendo por patas 👇</t>
  </si>
  <si>
    <t>https://twitter.com/NuriaJuiba/status/1070776264154324993</t>
  </si>
  <si>
    <t>pic.twitter.com/po6IzVbHVa</t>
  </si>
  <si>
    <t>FOTO PORTADA = Nivel ESPAÑA 😡 http://quepollasbuscas.es 🧐</t>
  </si>
  <si>
    <t>Somos Andaluces Federación Catalana</t>
  </si>
  <si>
    <t>Si alguien me puede explicar a qué caraho están jugando los de @ahorapodemos que me lo expliquen. Con la República no se juega, @Pablo_Iglesias_. ¿Este es vuestro compromiso con ella? ¿Usar el logo de 12 dólares de un salón de belleza? ¿Os pensáis que somos gilipollas o qué?</t>
  </si>
  <si>
    <t>https://pbs.twimg.com/media/DtyL9AzW4AECvUj.jpg</t>
  </si>
  <si>
    <t>Cuenta oficial de Twitter del Partido Nacionalista Andaluz en su Federación Catalana. #VíaAndaluza @AndaluciaMarcha @andalucesAND #LlibertatPresesPolitiques</t>
  </si>
  <si>
    <t>🤔 @Pablo_Iglesias_ reivindica la República en el acto con los Reyes y evita saludar a Felipe VI en el #DiaDeLaConstitucion.</t>
  </si>
  <si>
    <t>Marina Perez Gonzale</t>
  </si>
  <si>
    <t>Denunciar a Pablo Iglesias seria lo mas razonable ya que es el instigador y organizador de estas masas llamadas a la revelión RT @hermanntertsch: Más ataques a miembros y bienes de Vox en la ola de violencia desatada por el llamamiento de Iglesias en la noche del domingo electoral.</t>
  </si>
  <si>
    <t>http://lrzn.es/hkasn3</t>
  </si>
  <si>
    <t>https://pbs.twimg.com/media/DtyIOmQWoAEuWfV.jpg</t>
  </si>
  <si>
    <t>https://twitter.com/hermanntertsch/status/1071309569190715392
https://twitter.com/libertaddigital/status/1071126968064589824</t>
  </si>
  <si>
    <t>Mª Prado</t>
  </si>
  <si>
    <t>El panadero, el del periódico ahora van al Marquesado de Galapagar para que los salude @Pablo_iglesias RT @YolandaTabarnia: Hay que RT esto..... Maldita hemeroteca Pablitin..... @GuajeSalvaje @PandaHG18 @numer344 @ElAguijon_</t>
  </si>
  <si>
    <t>Ing.Héctor Rodríguez</t>
  </si>
  <si>
    <t>La peste del chavismo vino de España, ellos enviaron a @Pablo_Iglesias_ @ierrejon @alfreserramanci @jcescotet R. Zapatero, Felipe González y otros inversionistas que siempre quisieron extender el know how de la isla Hora Loca Cuba hacia Venezuela con todos nuestras reservas... RT @urru_urru: «La peste del chavismo ya ha contagiado a España» #Venezuela  vía @ABC_Mundo</t>
  </si>
  <si>
    <t>https://twitter.com/urru_urru/status/1070877225635983360
https://www.abc.es/internacional/abci-peste-chavismo-contagiado-espana-201812060233_noticia.html#ns_campaign=rrss-inducido&amp;ns_mchannel=abc-es&amp;ns_source=tw&amp;ns_linkname=noticia-entrevista&amp;ns_fee=0</t>
  </si>
  <si>
    <t>Niñatos y adolescentes eternos, absténganse. Si creo que una causa es justa o que tengo razón a muerte. Si contestas razona, si usas "y tú más", bloqueo.</t>
  </si>
  <si>
    <t>Cabudare. Edo. Lara.Venezuela</t>
  </si>
  <si>
    <t>Ing.Electricista. Estado Lara, Venezuela Produccion de fusibles y conectores eléctricos, tecnología venezolana de solución</t>
  </si>
  <si>
    <t>http://www.inselca.com</t>
  </si>
  <si>
    <t>Alberto Lobo</t>
  </si>
  <si>
    <t>Este pobre chico va hacia atrás como los cangrejos. Además de su papel como tonto útil siempre un paso por detrás de @Pablo_Iglesias_, va camino de cargarse definitivamente a @iunida. Entiendo la sensación que tendrá @GLlamazares al comprobar en qué manos está. Es lo que hay. RT @agarzon: Hoy los actos oficiales nos venden la Constitución y la democracia como un producto creado por brillantes prohombres (no mujeres) de consenso. Ausente toda consideración al movimiento obrero, al PCE y a la lucha antifranquista, verdadero motor de la democracia.</t>
  </si>
  <si>
    <t>La Coruña, Galicia, España</t>
  </si>
  <si>
    <t>Asesor Fiscal. Ironman y maratoniano. Socialdemócrata del @PSOE que modernizó #España, país donde TODOS sus ciudadanos (y no SÓLO unos pocos) deciden cómo es.</t>
  </si>
  <si>
    <t>Masculinismo #UngaUngaArmy #LaConstitucionNoSeToca</t>
  </si>
  <si>
    <t>Pablo Iglesias @pablo_iglesias_ admite que las comunidades autonomas dan de comer a la corrupción del PP. Vox quiere eliminarlas. Pablo Iglesias se queja de que quiera eliminarlas. PABLO ¿OTRO PORRO? ¿COMO EN LA COMISIÓN DE INVESTIGACIÓN? Deja la droga por favor que se te nota. RT @siglo__XXI: Si todavía podéis con Iglesias, en el min 0:44 dice sobre @FSerranoCastro: "ir de nazareño o no sé qué" Típico del profesorete marxista – no tiene la menor idea, pero opina. Luego quiere dar lecciones de historia, política, o la #RelatividadDeNewton 😂</t>
  </si>
  <si>
    <t>https://twitter.com/siglo__XXI/status/1070665441817870336</t>
  </si>
  <si>
    <t>♂💙🕯️💪 феминизм убивает. Dejando paso a movimientos de hombres y mujeres x la igualdad real👋</t>
  </si>
  <si>
    <t>http://masculinismo.website/wiki/</t>
  </si>
  <si>
    <t>Daniel Castro</t>
  </si>
  <si>
    <t>De acuerdo con @Pablo_Iglesias_, en Colombia pasa igual. Nos ponen una reforma tributaria que pone IVA del 19% a la canasta básica, pero no ponen impuestos a las altas utilidades de los bancos. #ReformaTributaria #LeyDeFinanciamiento</t>
  </si>
  <si>
    <t>pic.twitter.com/zBlNhBBfBb</t>
  </si>
  <si>
    <t>Medellín-Antioquia</t>
  </si>
  <si>
    <t>Activista político, columnista @LaOrejaRoja y @PortalOtraVoz. #Paz #JusticiaSocial</t>
  </si>
  <si>
    <t>https://danielcastroga.blogspot.com/</t>
  </si>
  <si>
    <t>Gregorio Linares</t>
  </si>
  <si>
    <t>PABLO IGLESIAS,EL BOLCHEVIQUE</t>
  </si>
  <si>
    <t>Gary Oakie</t>
  </si>
  <si>
    <t>Eres un gañán @Pablo_Iglesias_</t>
  </si>
  <si>
    <t>머나 먼</t>
  </si>
  <si>
    <t>Long time no sea</t>
  </si>
  <si>
    <t>Bertín Osborne hunde en la miseria a Pablo Iglesias: 'Yo no le voto ni muerto y ni borracho de vino'</t>
  </si>
  <si>
    <t>Manstein</t>
  </si>
  <si>
    <t>.@Pablo_Iglesias_ @Santi_ABASCAL curioso @ipeutrera @ValleToca RT @LibertadTV_: Veamos si @vox_es comparte o no las principales medidas económicas de Le Pen.</t>
  </si>
  <si>
    <t>https://twitter.com/libertadtv_/status/1070303678463119360</t>
  </si>
  <si>
    <t>Español🇪🇸🇪🇸🇪🇸🇪🇸🇪🇸</t>
  </si>
  <si>
    <t>María de Tabarnia</t>
  </si>
  <si>
    <t>Abelardo Francisco</t>
  </si>
  <si>
    <t>El fin de los podemitas y de su macho alpha @Pablo_Iglesias_ no es otro que la consecución de una dictadura en la que la dirigencia,(Soviet Supremo),se enriquezca a costa d la miseria de la población y utilizar como herramientas, el hambre, la falta de libertades y la represión</t>
  </si>
  <si>
    <t>Alcalá de Henares</t>
  </si>
  <si>
    <t>De Cartagena, me crié en Tánger, Kenitra,Almería y Madrid. Ingeniería Tª Industrial Electrica en Madrid.Trabajo en Red Electrica de España. NO voto a corruptos.</t>
  </si>
  <si>
    <t>https://profiles.google.com/abelfranc#abelfranc/about</t>
  </si>
  <si>
    <t>Combatiendo en Cataluña la manipulación y mentiras de los nazis/lazis independentistas.💪💪💪💪💪</t>
  </si>
  <si>
    <t>.@Pablo_Iglesias_ te tienen calado pajarraco @ValleToca RT @hermanntertsch: El comunista siempre promete lo mismo y siempre suministra lo sabido: miseria, hambre y crimen. Detenciones de madrugada, sacas, checas, tiros en la nuca, torturas, desapariciones, terror absoluto y un rodillo de mentiras que aplasta toda verdad, toda decencia y dignidad humana.</t>
  </si>
  <si>
    <t>Miguel Angel Suárez</t>
  </si>
  <si>
    <t>https://twitter.com/hermanntertsch/status/1070595326061486080
https://twitter.com/Pablo_Iglesias_/status/1070362164437778433</t>
  </si>
  <si>
    <t>Al "macho alfa" se le va a poner voz de soprano en el trullo. Ministerio de Justicia: Pena de prisión de 1 a 4 años para Pablo Iglesias por delito de Odio - ¡Firma la petición!  vía @change_es</t>
  </si>
  <si>
    <t>http://chng.it/GbJ5sCMV</t>
  </si>
  <si>
    <t>MURCIA</t>
  </si>
  <si>
    <t>LIBERAL SIGLO XXI. Pro Vida, Solidario, Lucho por mis Raíces Judeocristianas ¡Ah! Y bloqueo a podemonguers y otros descerebrados</t>
  </si>
  <si>
    <t>DARTH VADER</t>
  </si>
  <si>
    <t>Nuevo logo de @Pablo_Iglesias_</t>
  </si>
  <si>
    <t>pic.twitter.com/g4rwbCtruA</t>
  </si>
  <si>
    <t>🌟Coraje y Corazón Colchonero🌟 🔴🔴⚪⚪🔴🔴⚪⚪🔴🔴⚪⚪ Por y para SIEMPRE en el LADO OSCURO de la FUERZA 🌐😎🇪🇸🌟</t>
  </si>
  <si>
    <t>Sra.Indignada</t>
  </si>
  <si>
    <t>Hola @Pablo_Iglesias_ en Galapagar tenéis República o tú eres el rey del chalet?</t>
  </si>
  <si>
    <t>Soy una señora muy indignada</t>
  </si>
  <si>
    <t>DiegoAlonso</t>
  </si>
  <si>
    <t>Ya que @Pablo_Iglesias_ y @ahorapodemos usan como logo de su 'república' una imagen diseñada para peluquerías que cuesta 9'5 euros, lo mínimo que tienen que hacer es pagar el royaltie. ¡¡¡No hacéis nada limpio!!!</t>
  </si>
  <si>
    <t>🇪🇸Mike Boquerón🇪🇸</t>
  </si>
  <si>
    <t>Y eso lo dice tras el pobre resultado conseguido en las últimas elecciones .... y si nosu marioneta el ciudadano Garzón. Iros a cagar Iglesias dice que la Jefatura del Estado no puede elegirse por 'fecundación' y pide República  vía @OndaCero_es</t>
  </si>
  <si>
    <t>https://okdiario.com/espana/2018/12/06/podemos-usa-como-logo-republica-imagen-disenada-peluquerias-3436295/amp</t>
  </si>
  <si>
    <t>https://pbs.twimg.com/media/Dtxn9AZWkAAxBpa.jpg</t>
  </si>
  <si>
    <t>http://j.mp/2Rydjra</t>
  </si>
  <si>
    <t>No son bienvenidos morados, lazis ni comunistas. Bloqueo inmediato. 💙 El sentimiento nunca muere 💙</t>
  </si>
  <si>
    <t>Periodista y Editor de Prensa</t>
  </si>
  <si>
    <t>¡¡¡Todo es posible en GRANADA!!!</t>
  </si>
  <si>
    <t>http://www.granadaeco.com</t>
  </si>
  <si>
    <t>THE NEW ISA G</t>
  </si>
  <si>
    <t>A este vago caradura, el títere de @Pablo_Iglesias_ hay q mandarle al paro de una vez. De eso se va a ocupar @vox_es .. hay q dejarles con 2 diputados.. los marqueses de Galapagar.. q se los coman sus “círculos “ y socios de @iunida RT @agarzon: Hoy los actos oficiales nos venden la Constitución y la democracia como un producto creado por brillantes prohombres (no mujeres) de consenso. Ausente toda consideración al movimiento obrero, al PCE y a la lucha antifranquista, verdadero motor de la democracia.</t>
  </si>
  <si>
    <t>Ambroz, Madrid</t>
  </si>
  <si>
    <t>Ni indepes ni giliprogres ni filoetarras. Bloqueo sin más. Feminazis no son bienvenidas. Española orgullosa! He vuelto!😉</t>
  </si>
  <si>
    <t>Víctor Bermúdez</t>
  </si>
  <si>
    <t>A mí me gustaría que alguien analizara la influencia del chalet de @Pablo_Iglesias_ e @Irene_Montero_ en los resultados en Andalucía para @AdelanteAND y para @vox_es</t>
  </si>
  <si>
    <t>Valladolid (España)</t>
  </si>
  <si>
    <t>Inadaptado a la posmodernidad. Misericordia, empowerment y discernimiento. Creer y persistir, caer y levantarse. Todo proyecto sufre modificaciones.</t>
  </si>
  <si>
    <t>¡Miau!</t>
  </si>
  <si>
    <t>A mí Pablo Iglesias no me ha llamao' pa participar en su horda comunista! 🤪 RT @pnique: Abascal es como Torrente. Da risa... hasta que te imaginas a Torrente en un parlamento o en un gobierno... y entonces da miedo.</t>
  </si>
  <si>
    <t>¿Qué está esperando la Fiscalía General del Estado para imputar a @Pablo_Iglesias_ ante la justicia por incitación al odio? ¿qué está esperando para imputar a @sanchezcastejon por cómplice? ¡Ah! es verdad... que está bajo las órdenes de #Sánchezysuscomadrejas</t>
  </si>
  <si>
    <t>https://twitter.com/pnique/status/1070344137008918528</t>
  </si>
  <si>
    <t>pic.twitter.com/zqqbAcdDZO</t>
  </si>
  <si>
    <t>Африка - Европа - Mир</t>
  </si>
  <si>
    <t>Dobranich som en livsstil. Malchance. Fumo Pinyin.</t>
  </si>
  <si>
    <t>http://www.facebook.com/susana.garis</t>
  </si>
  <si>
    <t>Alberto Belloch</t>
  </si>
  <si>
    <t>NI TU NI 35 MILLONES DE ESPAÑOLES. HOY MAS TODAVIA.</t>
  </si>
  <si>
    <t>Pésima educación, pésimo ejemplo para sus hijos, pésimo ejemplo para todos... asi no @Pablo_Iglesias_ RT @infiltradoxxx: Cuando el Rey supo del problema de los hijos de los Iglesias-Montero les llamo para preocuparse por su estado, hoy Pablo Iglesias le ha negado el saludo, poco más que añadir.</t>
  </si>
  <si>
    <t>economista jubilado</t>
  </si>
  <si>
    <t>Perro Cotilla 🇪🇸</t>
  </si>
  <si>
    <t>Cuando Pablo Iglesias da un discurso acompañado por Alberto Garzón RT @Isa_44: Cuando te invitan a una fiesta y solo conoces a una persona.</t>
  </si>
  <si>
    <t>https://twitter.com/Isa_44/status/1071026561078493185</t>
  </si>
  <si>
    <t>pic.twitter.com/4eD3WnBV9t</t>
  </si>
  <si>
    <t>Antoni Ginard i Torello</t>
  </si>
  <si>
    <t>Lo que es realmente decepcionante es que individuos de esta clase estén presentes en un Parlamento democrático. @Pablo_Iglesias_</t>
  </si>
  <si>
    <t>Soy facha porque tengo una banderita de mi país</t>
  </si>
  <si>
    <t>https://elpais.com/politica/2018/12/06/actualidad/1544100381_203267.html</t>
  </si>
  <si>
    <t>JR</t>
  </si>
  <si>
    <t>Los foros de la militancia de Podemos arden contra Pablo Iglesias: "Pablo, cállate y haz autocrítica"</t>
  </si>
  <si>
    <t>Abogado. Socio fundador Legal Consultors. Defiendo la #verdad, las #causasjustas y los #DDHH</t>
  </si>
  <si>
    <t>Intentado mejorar todo mi alrededor que no es poco.</t>
  </si>
  <si>
    <t>http://www.youtube.com/user/avvnuevaeuropa?feature=results_main</t>
  </si>
  <si>
    <t>Elazote</t>
  </si>
  <si>
    <t>@pnique @sanchezcastejon @Pablo_Iglesias_ @susanadiaz y toda la izquierda son los verdaderos culpables del nacimiento de "fascistas" en España</t>
  </si>
  <si>
    <t>VÍDEO | Mofas sobre Podemos sobre su nuevo logo, el mismo que usa una cadena de peluquerías ▶</t>
  </si>
  <si>
    <t>http://atres.red/qnnvr2</t>
  </si>
  <si>
    <t>https://www.20minutos.es/noticia/3508831/0/carta-viral-abierta-andaluz-medico-pablo-iglesias-cuando-usted-predica-pobreza-pero-compra-chale-nace-fascista-elecciones-andalucia-2018-podemos-vox/?utm_source=facebook.com&amp;utm_medium=socialshare&amp;utm_campaign=mobile_amp</t>
  </si>
  <si>
    <t>El derecho a portar armas es una de las bases de la democracia, pero si la lleva, va montado a caballo y es de @vox_es, es un pistolero jaleador #@Pablo_Iglesias_ Dixit</t>
  </si>
  <si>
    <t>pic.twitter.com/UJjDz5PN7x</t>
  </si>
  <si>
    <t>the punisher</t>
  </si>
  <si>
    <t>Sobra cualquier comentario la diferencia entre un señor y un sectario como @Pablo_Iglesias_ es más que clarificador quizás mucha gente aprenda que un fascista lo es y da igual si es de derechas de izquierdas o semi pensionistas. RT @infiltradoxxx: Cuando el Rey supo del problema de los hijos de los Iglesias-Montero les llamo para preocuparse por su estado, hoy Pablo Iglesias le ha negado el saludo, poco más que añadir.</t>
  </si>
  <si>
    <t>Poe Dameron</t>
  </si>
  <si>
    <t>Ojo a las definiciones de @Pablo_Iglesias_ para las tres palabras que le rodean: FEMINISMO: Azotarla hasta que sangre DEMOCRACIA: No acepto la voluntad del pueblo, hay que romper la cara a los fachas REPUBLICA: Soviética, la española ya la rompo yo. RT @ahorapodemos: 🎥 "Las tradiciones políticas de nuestro país no serían compatibles con un modelo de república presidencialista que mirara a la república francesa. Nuestro país es diferente, nuestro país es pluralista". @Pablo_Iglesias_ #40AñosDeConstitución #UnaConstituciónModerna</t>
  </si>
  <si>
    <t>https://twitter.com/ahorapodemos/status/1070746451364495360</t>
  </si>
  <si>
    <t>https://pbs.twimg.com/media/DtwOJdvW0AAjsCb.jpg</t>
  </si>
  <si>
    <t>Un Único Gobierno. Un Único Parlamento. Una Única Justicia. Escrupulosamente separados.</t>
  </si>
  <si>
    <t>JM</t>
  </si>
  <si>
    <t>Se filtra el diseño del nuevo logo de @ahorapodemos , @Pablo_Iglesias_ culpa a OK diario y la extrema derecha.</t>
  </si>
  <si>
    <t>https://pbs.twimg.com/media/DtxbvptW0AYmGSB.jpg</t>
  </si>
  <si>
    <t>España 💓</t>
  </si>
  <si>
    <t>La manipulación social triunfa porque todos estamos dispuestos a mirar para otro lado. Anti merma. Los amo 👉 🐈🐄🐻 🐴🐘🐂🐿️</t>
  </si>
  <si>
    <t>PENSADOR ADELANTADO</t>
  </si>
  <si>
    <t>Por un momento pensé que era @Pablo_Iglesias_ el que comentaba el partido de balonmano, joder, no paraba de hablar de la extrema derecha que aparecía por todos lados.</t>
  </si>
  <si>
    <t>Nada es lo que parece, los políticos pretenden que creamos todo lo que nos cuentan bajo el disfraz de la democracia.</t>
  </si>
  <si>
    <t>https://www.mediafire.com/?6kmfocx1yi5p7w1</t>
  </si>
  <si>
    <t>Decía el Papa Francisco, con los pies encima del asfalto de la realidad, que “los comunistas nos han robado la bandera de los pobres”.</t>
  </si>
  <si>
    <t>🔴🔴¡ATENTOS AL NIVELAZO! Uno de los de la manifa contra VOX ¿Quién en su sano juicio no pondría sus ahorros, su futuro y el de sus hijos, en manos de gente así?@Pablo_Iglesias_ 🤮🤮🤮🤮🤮</t>
  </si>
  <si>
    <t>https://eldebate.es/politica-de-estado/vox-se-pasea-por-las-3000-viviendas-y-pablo-iglesias-recorre-su-chalet-20181207</t>
  </si>
  <si>
    <t>https://youtu.be/B0WhHWJXrv4</t>
  </si>
  <si>
    <t>Dadorelguapo</t>
  </si>
  <si>
    <t>Aquí, un amigo de Pablo Iglesias, que no está muy de acuerdo con las políticas que quiere implantar en España. Dice que solo traen pobreza y miseria RT @nizmycuba: “All nations of the world should resist socialism and the misery that it brings to everyone.” - @POTUS #UNGA⁠ “Todas las naciones del mundo deben resistir el socialismo y la miseria que trae a todos”.⁠ ⁠Deberían.</t>
  </si>
  <si>
    <t>El Observador</t>
  </si>
  <si>
    <t>El dia que haya un muerto por los CDR, aquí se lia pero grande. Dios no lo permita. Responsables los comunistas bastardos @Pablo_Iglesias_ y @iunida</t>
  </si>
  <si>
    <t>https://twitter.com/nizmycuba/status/1045585315694555136</t>
  </si>
  <si>
    <t>pic.twitter.com/QHKpCwCyVH</t>
  </si>
  <si>
    <t>Málaga , España</t>
  </si>
  <si>
    <t>Una persona que quiere lo mejor para su pais, ESPAÑA, y para todos los españoles. Economista e Inspector de Hacienda jubilado. Y malaguista hasta la médula.</t>
  </si>
  <si>
    <t>Raspamos un poco y a ver qué sale</t>
  </si>
  <si>
    <t>O.Igor</t>
  </si>
  <si>
    <t>Dice @Pablo_Iglesias_ que la mayoría de los españoles estamos por la República. Si...se ve muy bien en los resultados de las andaluzas y en la configuración de Parlamento donde, como se sabe, tienen los republicanos mayoría. Inténtelo de nuevo, a ver si hay suerte. Gilipollas!!</t>
  </si>
  <si>
    <t>Buenas noches Podemos, buenas noches Iglesias... ¡¡¡hasta la vistaaaaa!!!</t>
  </si>
  <si>
    <t>JUANVI PODEMOS✋ #USERA</t>
  </si>
  <si>
    <t>Influir en la gente que influye. Síguenos también en https://www.facebook.com/PeriodistaDigit</t>
  </si>
  <si>
    <t>He avalado para el Congreso de los diputados a @Pablo_Iglesias_ y para cuerpo de lista al Congreso he avalado a una mujer y gitana, a una compañera, Luisa Amaya Campos, que estoy seguro que desarrollará un gran trabajo. Puedes dar tu aval aquí 👉👉  …</t>
  </si>
  <si>
    <t>A  modo porque vamos lonxe</t>
  </si>
  <si>
    <t>Gallego, de Vigo, de origen canario, vivo en Usera (Madrid). Jubilado y Consejero Ciudadano Municipal de Podemos Madrid. También en Pensionistas de Usera.</t>
  </si>
  <si>
    <t>http://elblogdejuanvi.blogspot.com/</t>
  </si>
  <si>
    <t>Juan C</t>
  </si>
  <si>
    <t>#garzónnoresponde porque ha dejado a @iunida y al @elpce en manos de un estalinista como @Pablo_Iglesias_ Aquello que fue el eurocomunismo desligado de la URSS con Carrillo al frente se lo ha cargado @agarzon con la alianza del coletas,el proletario con un chabolo de 600.000€</t>
  </si>
  <si>
    <t>Nuria Ríos</t>
  </si>
  <si>
    <t>Gracias @Pablo_Iglesias_ @pnique @MonederoJC @ahorapodemos por hacer que un partido como @vox_es vuelva a estar en un parlamento de España 🇪🇸, sin vuestra ayuda no sería posible. 🇪🇸🇪🇸🇪🇸🇪🇸🇪🇸🇪🇸🇪🇸🇪🇸 @Santi_ABASCAL @vox_es</t>
  </si>
  <si>
    <t>Soy Nuria y soy revolucionaria, ¿necesitas saber algo más? Pues pregunta.</t>
  </si>
  <si>
    <t>Henrietta Chinaski</t>
  </si>
  <si>
    <t>Y es por cosas como esta que a mucha gente de izquierda nos importa una mierda qué hagáis con Franco. Lo que quiero es que esta mujer desesperada no salte por el balcón. @ManuelaCarmena @Pablo_Iglesias_ tanto que habéis criticado los desahucios: PARADLOS o dad alternativas. RT @alwaysfree86: Mi desahucio terminará de la peor de las maneras..SUICIDIO @galceran_montse @ManuelaCarmena @provivienda_org @emvsmadrid @La1_tve @antena3com @cuatro @telemadrid @telecincoes @laSextaTV @MADRID @ComunidadMadrid @JMDTetuan @Tetuan30Dias @Invisibles_T @OSTetuan</t>
  </si>
  <si>
    <t>Dentro de mí.</t>
  </si>
  <si>
    <t>Todas las mujeres rompen los cojones, pero yo soy la campeona. Si me juzgas, puedes convertir en línea recta alguna curva.</t>
  </si>
  <si>
    <t>http://henriettachinaski.blogspot.com.es/</t>
  </si>
  <si>
    <t>Cristóbal Calle</t>
  </si>
  <si>
    <t>Piden la detención de Pablo Iglesias por ser el promotor de las violentas manifestaciones contra VOX en Andalucía • El Matinal</t>
  </si>
  <si>
    <t>Aquí los asesores #chavistas, grandes capitalistas, hablando en nombre de la gente que no llega a fin de mes. No se han enterado de nada ni @agarzon ni @Pablo_Iglesias_ RT @ahorapodemos: "Creemos que la Constitución no puede ser una reliquia, que la institución tiene que ser un instrumento dinámico que sirva para proteger los derechos de la gente, y por eso pensamos que la Constitución se tiene que modernizar". @Pablo_Iglesias_ #40AñosDeConstitución</t>
  </si>
  <si>
    <t>Soy de Montejaque, vivo en Marbella. Casado con @josefinarjona. Padre de @antoniocalle89. Católico y conservador.</t>
  </si>
  <si>
    <t>http://www.facebook.com/profile.php?id=100000765012661</t>
  </si>
  <si>
    <t>~ ℌ𝔬𝔡𝔟𝔬ℌ ~</t>
  </si>
  <si>
    <t>Aquí Pablo Iglesias defendiendo a Santiago Abascal cuando este portaba un arma porque él y su familia estaban amenazados por ETA. RT @rouco64: 🔴🔴 El derecho a portar armas es una de las bases de la democracia. DIXIT Pablo Iglesias🔻🔻</t>
  </si>
  <si>
    <t>Estoy en desacuerdo con lo que dices pero defenderé tu derecho a decirlo // En búsqueda de la verdad y de uno mismo // Crimental</t>
  </si>
  <si>
    <t>† El Cid †</t>
  </si>
  <si>
    <t>⚔️LA BATALLA FINAL POR ESPAÑA ⚔️: 🇪🇸Santiago Abascal (@Santi_ABASCAL) alias Capitán España VS ☭ Pablenin (@Pablo_Iglesias_) alias Marqués de Galapgar Navas de Tolosa ha vuelto...</t>
  </si>
  <si>
    <t>pic.twitter.com/RQ24059gzP</t>
  </si>
  <si>
    <t>Meri Moy</t>
  </si>
  <si>
    <t>Bertín Osborne: "A Pablo Iglesias no le voto ni muerto, ni harto de vino"  Compartido desde Discover</t>
  </si>
  <si>
    <t>Y habló, como siempre habla, tan justo tan mesurado: “¡Bendito seas, Dios mío, Padre que estás en lo alto! Contra mí tramaron esto mis enemigos malvados”</t>
  </si>
  <si>
    <t>https://www.youtube.com/channel/UCAj-LFssuCq7Lhx7IbIjqBg</t>
  </si>
  <si>
    <t>Muy bien dicho @Pablo_Iglesias_ , lo nuestro es la Monarquía RT @ahorapodemos: 🎥 "Las tradiciones políticas de nuestro país no serían compatibles con un modelo de república presidencialista que mirara a la república francesa. Nuestro país es diferente, nuestro país es pluralista". @Pablo_Iglesias_ #40AñosDeConstitución #UnaConstituciónModerna</t>
  </si>
  <si>
    <t>Astur 47</t>
  </si>
  <si>
    <t>alis</t>
  </si>
  <si>
    <t>Espero que quien tenga que hacer que este media mierda salga de un partido que venía a regenerar la política, lo haga, no? @TeresaRodr_ @ahorapodemos @Pablo_Iglesias_ @AdelanteAND porque esto ya pasa de castaño oscuro. RT @alejandrosanmo: Hoy me toca a mí sufrir los insultos de los queers posmos por señalar al rey desnudo. Al menos a mí no me amenazan como hacen con las feministas, será que soy hombre y hasta para eso son misógines les muy capulles.</t>
  </si>
  <si>
    <t>⚔GLADIADOR⚔LIBERAL</t>
  </si>
  <si>
    <t>https://twitter.com/alejandrosanmo/status/1070650702240862208</t>
  </si>
  <si>
    <t>Vila de Gracia, Barcelona</t>
  </si>
  <si>
    <t>Feminismo. Ni dios, ni patria, ni rey. Construyendo @balma_la con Sostre Cívic, literalmente. Por las noches saco la silla al fresco para echar unas risas.</t>
  </si>
  <si>
    <t>Vox_Luismi</t>
  </si>
  <si>
    <t>Luchando por la dignidad y moral completa. Anticomunista. Católico. Familia. Libertad. España lo primero 🇪🇸.</t>
  </si>
  <si>
    <t>Visto lo ocurrido en Andalucia tras el triunfo de @vox_es y la llamada irresponsabe a la calle de @Pablo_Iglesias_ Me Niego a que los episodios de bandalismo infundamentados se repitan en las calles de mi ciudad cuándo vox triunfe tambien en nuestras municipales</t>
  </si>
  <si>
    <t>http://www.elclubdelosviernes.org</t>
  </si>
  <si>
    <t>Libertad e Igualdad🇪🇸🇪🇨</t>
  </si>
  <si>
    <t>Zenón</t>
  </si>
  <si>
    <t>Bertín Osborne hunde en la miseria a Pablo Iglesias: Yo no le voto ni muerto, es que ni borracho de vino</t>
  </si>
  <si>
    <t>😂😂😂@ahorapodemos y @Pablo_Iglesias_ sois patéticos y ridículos😂😂😂 RT @jmdelalamo: La república les ha salido a 9,50</t>
  </si>
  <si>
    <t>https://twitter.com/jmdelalamo/status/1070674475925016576</t>
  </si>
  <si>
    <t>https://pbs.twimg.com/media/DtvL2BYW0AEy_rQ.jpg</t>
  </si>
  <si>
    <t>Pablo Iglesias ha contagiado al Rey MANDATO IMPERATIVO, democracia formal o política, PARTIDO Y FACCIÓN,</t>
  </si>
  <si>
    <t>Vamos @Pablo_Iglesias_ si se puede @ahorapodemos</t>
  </si>
  <si>
    <t>https://youtu.be/pweHNJ1jf_A</t>
  </si>
  <si>
    <t>https://pbs.twimg.com/media/DtxSCZsW4AADXVc.jpg</t>
  </si>
  <si>
    <t>Cesar Villasante</t>
  </si>
  <si>
    <t>Que pretende Pablo Iglesias atacando a Vox..Liarla bien liada como siempre en este país? No me gusta Vox pero ahí están y habrá q ser inteligentes para anularlos..la violencia es contraria a la inteligencia. Siempre.</t>
  </si>
  <si>
    <t>Que decía @Pablo_Iglesias_ #pablomezquitas estando en la tv de #venezuela que se emocionaba de ver hablar al comandante #chaves..... RT @OrbitaEduardo: Mirar la emocion del "Chepas de PODEMOS", cuando habla su "lider de referencia y pagador" sobre el Modelo Socialista Venezolano. Eso es lo que quiere "El Chepas para España", MISERIA. Ruego que a los que no sean capaz de soportar este vídeo hagan un ejercicio de contención</t>
  </si>
  <si>
    <t>De aviones y musica se poco. De lo demas casi nada.</t>
  </si>
  <si>
    <t>https://twitter.com/orbitaeduardo/status/1070635868153634816</t>
  </si>
  <si>
    <t>pic.twitter.com/lBD9ealZ7d</t>
  </si>
  <si>
    <t>Alejandro.</t>
  </si>
  <si>
    <t>Poca clase y poca Constitución corren por las venas de @Pablo_Iglesias_ y seguidores. Políticos de toda una época y todas las ideologías han estado presentes celebrando la fiesta de todos los españoles. El revés de Andalucía a la izquierda radical augura su futuro electoral.</t>
  </si>
  <si>
    <t>https://pbs.twimg.com/media/DtxPwE4WkAUdKjV.jpg</t>
  </si>
  <si>
    <t>... todos los tuits se perderán en el tiempo como lágrimas en la lluvia...</t>
  </si>
  <si>
    <t>Rubén Arranz</t>
  </si>
  <si>
    <t>Mi artículo de hoy en @voz_populi: "Es difícil de detener este movimiento político de moda. Las críticas de los contrincantes les ayudan a crecer de igual forma, o más, que sus propias palabras. Por eso, Pablo Iglesias no ayuda a frenar a Vox".</t>
  </si>
  <si>
    <t>La Azufre</t>
  </si>
  <si>
    <t>Estos son los amigos de @sanchezcastejon y @Pablo_Iglesias_ integrantes de partidos pacíficos, buenos, que respetan el pensar diferente, que son muy DEMOCRATAS y que pueden sacar a Cataluña y resto de España 🇪🇸 adelante . El que tenga 👀 que vea y el que tenga oídos que oiga 👎🏼 RT @arturelpayaso2: Radicales independentistas, los amigos de Quim Torra y Puigdemont, agreden salvajemente a Álvaro de Marichalar, quien tuvo que huir para no ser linchado. Cataluña está en guerra, y quien no lo vea, que se lo haga mirar.</t>
  </si>
  <si>
    <t>https://www.vozpopuli.com/medios/alerta-antifascista-degenerados-ciudadanos_0_1197781114.html</t>
  </si>
  <si>
    <t>Perro no come perro. rarranz@vozpopuli.com</t>
  </si>
  <si>
    <t>SantiagodeCompostela/ y Oviedo</t>
  </si>
  <si>
    <t>Demócrata,Abogado Laboralista, Radicada en Stgo d Compost y Oviedo hace 19años. Somos: Dios, 3 crios, 1 Angelito en el Cielo, mi Costilla y yo.Dios Ayudanos</t>
  </si>
  <si>
    <t>Banquero Indignado</t>
  </si>
  <si>
    <t>Bertín Osborne: "A Pablo Iglesias no le voto ni muerto, ni harto de vino" Ni tú, ni nadie que sea medianamente inteligente.</t>
  </si>
  <si>
    <t>EC_BSU</t>
  </si>
  <si>
    <t>Con los Podemos q hemos visto todos a @Pablo_Iglesias_ decir lo q disfruta ver como apalean a la Policia etc etc etc! Y ahora resulta q están todos los medios q callaban con esto! Criticando a VOX!! Esto es de locos!!</t>
  </si>
  <si>
    <t>✈️✈️✈️✈️✈️✈️✈️✈️✈️✈️✈️</t>
  </si>
  <si>
    <t>Cuando fuisteis a pedir una hipoteca nadie os apuntaba con una pistola, no ? Que cada palo aguante su vela, que ya somos mayorcitos.</t>
  </si>
  <si>
    <t>Eva</t>
  </si>
  <si>
    <t>Pregunta: Cuánto crees que falta para que @Pablo_Iglesias_ aparezca con uniforme???? 🤔🤔</t>
  </si>
  <si>
    <t>EXTREMO DERECHO EXTREMO</t>
  </si>
  <si>
    <t>Tomemos la iniciativa. Hay que ilegalizar al comunismo bolivariano. Solo siembran odio, Ministerio de Justicia: Pena de prisión de 1 a 4 años para Pablo Iglesias por delito de Odio - ¡Firma la petición!  vía @change_es</t>
  </si>
  <si>
    <t>Talavera de la Reina, España</t>
  </si>
  <si>
    <t>#Española. Amo a mi país, mi familia, mi madre, mi hija y mi noviA. No soporto a los que quieren destruir mi país. No me caso con nadie</t>
  </si>
  <si>
    <t>http://chng.it/N5qWB8ZY</t>
  </si>
  <si>
    <t>#Basura de España</t>
  </si>
  <si>
    <t>ESPAÑOL 🇪🇸 MADRIDISTA 🏆 Mourinho-zidanista; los principios de Mou, los métodos de Zizou.</t>
  </si>
  <si>
    <t>El terrorista mas grande de España..... @Pablo_Iglesias_</t>
  </si>
  <si>
    <t>http://www.tabarnia.es</t>
  </si>
  <si>
    <t>https://pbs.twimg.com/media/DtxMvCVW0AATkQJ.jpg</t>
  </si>
  <si>
    <t>🇪🇸🇪🇸El primer paso de la ignorancia es presumir de saber.🧐🇪🇸🇪🇸</t>
  </si>
  <si>
    <t>http://www.thetimes.co.uk</t>
  </si>
  <si>
    <t>Daniel Barcelo Rodriguez</t>
  </si>
  <si>
    <t>Eres un perro. Pablo iglesias. Tienes miedo RT @Miotroyo2parte: Dos afiliados de @vox_es han sido agredidos en Lorca (Murcia), cuando se encontraban trabajando en la sede de su partido. Imagino que estarás contento, @Pablo_Iglesias_, ya estás consiguiendo lo que querías.</t>
  </si>
  <si>
    <t>Escucha @Pablo_Iglesias_ y cállate de una puta vez!! RT @maitepagaza: Escúchala, disfrútala, pásala. Feliz día de la #Constitucion40 🔊🎶 🕺🏻💃🏽</t>
  </si>
  <si>
    <t>https://twitter.com/maitepagaza/status/1070628192329891840</t>
  </si>
  <si>
    <t>pic.twitter.com/KTrnmSkBGf</t>
  </si>
  <si>
    <t>Facha,,muy facha y súper orgulloso de nacer en este maravilloso país de España. Antipodemita</t>
  </si>
  <si>
    <t>Guanche-Valencia</t>
  </si>
  <si>
    <t>FR🅰N🅺</t>
  </si>
  <si>
    <t>Hola @Pablo_Iglesias_ . Que opinas de que las hordas #Antifas que hayas sacado a la calle junto con los CDR de @QuimTorraiPla que apretan esten siendo reprimidas por los mossos??</t>
  </si>
  <si>
    <t>Valencia-España</t>
  </si>
  <si>
    <t>Chofer de autobuses, guaguas, fotingos y todo lo que se menea</t>
  </si>
  <si>
    <t>Reykjavik</t>
  </si>
  <si>
    <t>They 🅼🅰🅳🅴 me 🅳🅾 IT</t>
  </si>
  <si>
    <t>Cuando Pablo Iglesias apoyaba a Javier Bódalo, agresor de una mujer embarazada</t>
  </si>
  <si>
    <t>Antonio Reolid C´s💎</t>
  </si>
  <si>
    <t>🔴VIOLENCIA EN LAS CALLES: @Pablo_Iglesias_ tras perder las elecciones, gritó desesperado, "ALERTA ANTIFASCISTA". Otegi ya le ha respondido; "ALIANZA" En el #DíadelaConstitución los socios de @sanchezcastejon, los CDR, casi linchan al ex-militar y aristócrata @DeMarichalar RT @elCatalan_es: 📹 Una turba de secesionistas persigue por las calles de Girona a Álvaro de Marichalar para tratar de agredirle. Lo podéis ver en el siguiente enlace.</t>
  </si>
  <si>
    <t>http://www.diarioalcazar.com/2018/12/cuando-pablo-iglesias-apoyaba-javier.html?m=1</t>
  </si>
  <si>
    <t>https://twitter.com/elCatalan_es/status/1070759047446564866
https://www.elcatalan.es/video-una-turba-de-separatistas-radicales-intenta-linchar-en-girona-a-alvaro-de-marichalar</t>
  </si>
  <si>
    <t>Albacete, España</t>
  </si>
  <si>
    <t>Grado en Prevención y Seguridad Integral. Grado en Seg. y Emergencias. Máster en Dirección Pública y Políticas Públicas. Consultor. Ciudadano🍊 en @Cs_Albacete</t>
  </si>
  <si>
    <t>Santiago Abascal: "Pablo Iglesias es tan miserable como sus adorados tiranos chavistas"</t>
  </si>
  <si>
    <t>Carmen ⚖️🇪🇸</t>
  </si>
  <si>
    <t>A ver si os enteráis @Pablo_Iglesias_ @ierrejon @Irene_Montero_ @carmencalvo_ #LaManada</t>
  </si>
  <si>
    <t>https://diariopatriota.com/santiago-abascal-pablo-iglesias-es-tan-miserable-como-sus-adorados-tiranos-chavistas/</t>
  </si>
  <si>
    <t>https://youtu.be/BiWDTgFsvsM</t>
  </si>
  <si>
    <t>Madrid, Espagne</t>
  </si>
  <si>
    <t>Stop political correctness. No a la LIVG. Stop Dictadura de Género. Antifeminazis. Neoliberal. Pro-Life💙. Vamos VOX 💚!#UngaUngaArmy</t>
  </si>
  <si>
    <t>Que publique @ahorapodemos Vídeos y declaraciones de Santiago Abascal...y conoceremos al "terrorista" que amenaza y solivianta a la ciudadanía en su provecho. Es decir a @Pablo_Iglesias_ se le cayó el pasamontañas en las elecciones Andaluzas.</t>
  </si>
  <si>
    <t>LuisCarlosن ‏  🇪🇸</t>
  </si>
  <si>
    <t>https://www.esdiario.com/453023193/El-video-de-un-jovencisimo-Santiago-Abascal-que-deberia-dar-verguenza-a-Podemos.html</t>
  </si>
  <si>
    <t>Roquetas de Mar, España</t>
  </si>
  <si>
    <t>Vali.</t>
  </si>
  <si>
    <t>Ni fascista ni franquista: el verdadero origen del Águila de San Juan en el escudo de España  vía @ABC_Historia. Lee esto @Pablo_Iglesias_ y deja ya de decir gilipolleces.</t>
  </si>
  <si>
    <t>https://www.abc.es/historia/abci-fascista-franquista-verdadero-origen-aguila-san-juan-escudo-espana-201812040238_noticia.html#ns_campaign=rrss-inducido&amp;ns_mchannel=abc-es&amp;ns_source=tw&amp;ns_linkname=noticia-video&amp;ns_fee=0</t>
  </si>
  <si>
    <t>Fernando Jiménez ¡¡Español!!</t>
  </si>
  <si>
    <t>Jajjaja Pues cuando toquen la comunitarias en Madrid piede que hasta consiga el voto de Pablo Iglesias que ahora tiene chalet con piscina .</t>
  </si>
  <si>
    <t>https://www.elmundo.es/espana/2018/12/08/5c0ac8e121efa09c2f8b45f9.html</t>
  </si>
  <si>
    <t>Leganés, España</t>
  </si>
  <si>
    <t>Pepinero hasta las trancas.</t>
  </si>
  <si>
    <t>http://www.facebook.com/fernando.jimenez.12720</t>
  </si>
  <si>
    <t>Warte</t>
  </si>
  <si>
    <t>Una cosilla de lo de la reforma de la Constitución, ¿sabemos qué van a reformar @Pablo_Iglesias_ y @sanchezcastejon ?</t>
  </si>
  <si>
    <t>Aquí.</t>
  </si>
  <si>
    <t>Si el abismo te devuelve la mirada, enséñale los dientes. -Save the princess, save the world-</t>
  </si>
  <si>
    <t>Paul Craig Roberts: "Washington cometió un error que podría ser fatal para la humanidad por su arrogancia" @UEmadrid @CasaReal @sanchezcastejon @Pablo_Iglesias_ @Albert_Rivera @pablocasado_  via @ActualidadRT</t>
  </si>
  <si>
    <t>https://es.rt.com/3qtp</t>
  </si>
  <si>
    <t>Grego Casanova</t>
  </si>
  <si>
    <t>Genial charla. @Pablo_Iglesias_ y Ansón, que termina recomendando un temazo de The Killers - Read my mind.⤵️</t>
  </si>
  <si>
    <t>https://youtu.be/q_0E5BnCQg0</t>
  </si>
  <si>
    <t>Barcelona | Madrid</t>
  </si>
  <si>
    <t>#Periodismo e #Historia Escribo en @el_pais</t>
  </si>
  <si>
    <t>Chonny Crockett 🇪🇸</t>
  </si>
  <si>
    <t>Para @Pablo_Iglesias_ y @pnique RT @gabylopez83: ESPAÑOLES... PABLO IGLESIAS ME HA BLOQUEADO | Que alguien le diga que no le guardo rencor alguno, que respeto lo que ha hecho, pero que bloqueando las críticas demuestra que lo único que pretende en esta red es fomentar su ego, que no es pequeño.</t>
  </si>
  <si>
    <t>https://twitter.com/gabylopez83/status/1070802485986684929</t>
  </si>
  <si>
    <t>https://pbs.twimg.com/media/DtxBLfUWoAAjleW.jpg</t>
  </si>
  <si>
    <t>Nuevo y enganchado a Twitter desde que Sánchez Cum Fraude es Presidente.</t>
  </si>
  <si>
    <t>PABLO IGLESIAS PROPONE que el REY se presente a las ELECCIONES ⚠️ REPUBLICANISMO, 🗣️ MANDATO IMPERATIVO,</t>
  </si>
  <si>
    <t>https://goo.gl/SXwAHD?utq98=5419346005</t>
  </si>
  <si>
    <t>I SEE ⚡ THE SEA.</t>
  </si>
  <si>
    <t>Hola @policia, por si no sabíais que en parte, el responsable de todo esto se llama @Pablo_Iglesias_ RT @Gata1_C: Esto es Tarrassa ahora. La extrema izquierda a sus anchas. Hay heridos. @Pablo_Iglesias_ , tendrás que rendir cuentas!! @sanchezcastejon, podrá dormir?? El impresentable de Quim Torra, y todo su gobierno entre rejas Urge tomar medidas!!!!!</t>
  </si>
  <si>
    <t>https://twitter.com/Gata1_C/status/1070791263534878727</t>
  </si>
  <si>
    <t>https://pbs.twimg.com/media/Dtw2-VSW0AESvq7.jpg</t>
  </si>
  <si>
    <t>Si consigues un océano , dos velas y algo de viento, no echarás de menos tu hogar.</t>
  </si>
  <si>
    <t>EL MUNDO</t>
  </si>
  <si>
    <t>Juntos por Bolivia</t>
  </si>
  <si>
    <t>Este 6 diciembre Plataformas ciudadanas y activistas en #LHospitalet metro la Torrassa concentración pidiendo respeto al #21F @evoespueblo @boliviadijono_ #DemocraciaSi #DictaduraNO SOS 🆘 @Pablo_Iglesias_ @AdaColau @ManuelaCarmena @gabrielrufian @carlesral @agarzon gracias!</t>
  </si>
  <si>
    <t>Cuenta oficial de EL MUNDO -YouTube http://bit.ly/2hBbolJ Celebración 40 años de la Constitución (📷EFE)</t>
  </si>
  <si>
    <t>http://www.elmundo.es/</t>
  </si>
  <si>
    <t>pic.twitter.com/rLURzuOWny</t>
  </si>
  <si>
    <t>El asilvestrado Joe</t>
  </si>
  <si>
    <t>Jajajajaja, que la dice el periodista y tertuliano Eduardo Inda a @Pablo_Iglesias_ q se lave la sucia boca q tiene xq no se pueden tener los dientes tan negros y asquerosos como los tiene, jajajajaja Y yo añadiría el pelo, pelo rezumando grasa y suciedad apestosa a borbotones.</t>
  </si>
  <si>
    <t>Naturalmente indignado. Rojo, feminista, anticlero, antitaurino y asilvestrado. Colaboro en @nuevarevoluci0n</t>
  </si>
  <si>
    <t>http://www.nuevarevolucion.es</t>
  </si>
  <si>
    <t>Manuel Esbert</t>
  </si>
  <si>
    <t>Lee este comentario, y firma la petición. Actitud fascista: "si no me apoyas eres un facha"  vía @change_es</t>
  </si>
  <si>
    <t>http://chng.it/vYKLDYcJ</t>
  </si>
  <si>
    <t>Chamberí, Madrid, España</t>
  </si>
  <si>
    <t>Psicólogo clínico de adultos en Madrid. Director de Psimática Editorial S.L., Madrid.</t>
  </si>
  <si>
    <t>http://www.manuelesbert.com</t>
  </si>
  <si>
    <t>Kevs Villarreal</t>
  </si>
  <si>
    <t>Igual que los estudiantes de la Pucp con la tremenda franelada que le hiciste a Marcial Rubio. Ya lo decía Pablo Iglesias: "algunos están en donde están, no por vuestros méritos, sino por su capacidad de lamer las almorranas del poder. RT @rmapalacios: Merecen el repudio de su propio Presidente.</t>
  </si>
  <si>
    <t>https://twitter.com/rmapalacios/status/1071247240935682048
https://twitter.com/DIABLOMAT/status/1071246063644893184</t>
  </si>
  <si>
    <t>Lima, Peru</t>
  </si>
  <si>
    <t>Historia PUCP - Alianza Lima - cultura popular - Militante del PS y AIU - ☭☭☭</t>
  </si>
  <si>
    <t>Miguel Rana Habas🎗️</t>
  </si>
  <si>
    <t>Me ha gustado un vídeo de @YouTube ( - Otra Vuelta de Tuerka - Pablo Iglesias con Tristán Ulloa).</t>
  </si>
  <si>
    <t>http://youtu.be/hm-DNijFbYk?a</t>
  </si>
  <si>
    <t>Blois</t>
  </si>
  <si>
    <t>Ciudadano del mundo, amante de la música, de las cosas bellas, de las diferentes, de las desconocidas, Juan sin miedo, ni vergüenza, ni nada que perder.</t>
  </si>
  <si>
    <t>Milla Q</t>
  </si>
  <si>
    <t>Épica, imperdible! ||| "Nace un fascista". La carta abierta a Pablo Iglesias que se hace viral tras las elecciones andaluzas  via @sevillainf @SingUrena</t>
  </si>
  <si>
    <t>Santo Domingo</t>
  </si>
  <si>
    <t>Life, arte, spirituality, filosofía, astronomy, botánica || Políticamente incorrecta / Politically incorrect || DO, CL, US, UK, Earth (for now) ||</t>
  </si>
  <si>
    <t>Pablo Iglesias no fue el que inventó la expresión Arriba y Abajo La Revolución Francesa 📣 Noticias, ✔️ PRINCIPIO DE MEDIACIÓN,</t>
  </si>
  <si>
    <t>https://goo.gl/6u5HPy?xxu44=4469347648</t>
  </si>
  <si>
    <t>Waldo Silva R.</t>
  </si>
  <si>
    <t>Talca, Chile</t>
  </si>
  <si>
    <t>Ingeniero Civil Industrial, Profesor universitario. Magíster en Tecnologías de Información. Máster en Administración de Empresas. PhD (c) en Adm. de Empresas.</t>
  </si>
  <si>
    <t>David Caballero</t>
  </si>
  <si>
    <t>Demoledor mensaje de García Serrano al comunista Pablo Iglesias por la c...  via @YouTube Brillante el gran Eduardo.</t>
  </si>
  <si>
    <t>https://youtu.be/RQ3Go7fiMCg</t>
  </si>
  <si>
    <t>Facha homofogo xenofogo patriota no catolico, y putero de putas guapas españolas y operadas de lujo esto es lo que soy ni mas ni menos.</t>
  </si>
  <si>
    <t>Antena3Noticias</t>
  </si>
  <si>
    <t>VIDEO| El nuevo logo de Podemos es el mismo de una cadena de peluquerías ▶</t>
  </si>
  <si>
    <t>📛📛📛📛¡Y ESTA AMIGOS ES LA GENERACIÓN MEJOR PREPARADA DE ESPAÑA. ESA QUE SALE A BERREAR Y A HACER EL CAFRE POR ORDEN DE @Pablo_Iglesias_ ! 👏👏👏👏👏¡QUÉ FUTURO! @Santi_ABASCAL</t>
  </si>
  <si>
    <t>http://atres.red/qnnvr3</t>
  </si>
  <si>
    <t>https://youtu.be/wqwGqfQPaps</t>
  </si>
  <si>
    <t>Toda la actualidad en http://www.antena3.com/noticias/</t>
  </si>
  <si>
    <t>http://www.antena3.com/noticias/</t>
  </si>
  <si>
    <t>Catalinalina</t>
  </si>
  <si>
    <t>Os pongo un fragmento de “la emotiva” famosa carta de ⁦@Pablo_Iglesias_⁩ e ⁦@Irene_Montero_⁩ , quienes van a “enseñar” a sus hijos el respeto agitando la calle. 🙌</t>
  </si>
  <si>
    <t>Manuel García Tamayo</t>
  </si>
  <si>
    <t>Lo mínimo que puede hacer un país que se respete, es encarcelar a un poyecto de tirano y terrorista consumado, como lo es Pablo Iglesias! Este individuo representa la anti España y exacerba la inestabilidad política del país! RT @BenemeritosGC: Piden la detención de Pablo Iglesias por ser el promotor de las violentas manifestaciones contra VOX en Andalucía</t>
  </si>
  <si>
    <t>https://pbs.twimg.com/media/DtxC7jfWwAAjvb_.jpg</t>
  </si>
  <si>
    <t>Optimista, positiva y liberal. Valoro la educación y el respeto, la cultura y el esfuerzo. La única lucha perdida es la que no se pelea.</t>
  </si>
  <si>
    <t>Por estas calles!</t>
  </si>
  <si>
    <t>Buscando LIBERTAD, JUSTICIA Y EQUIDAD! Libre pensador! Oficial Marina Mercante-Venezuela; BSIM-USA; MBA-USA!</t>
  </si>
  <si>
    <t>Que dice @Pablo_Iglesias_ que la mayoría de españoles preferidos la #republica. Es fácil, que fuerce al okupa @sanchezcastejon y verás como votamos....... Tanto el @PSOE como @ahorapodemos se van a sorprender</t>
  </si>
  <si>
    <t>Qué más da.</t>
  </si>
  <si>
    <t>Esta es la realidad, el odio a España une a esta gentuza que son impulsadas por políticos irresponsables como @Pablo_Iglesias_ , la democracia de aquellos hipócritas que no ganan en las urnas.. #40AñosDeConstitución RT @Bcnisnotcat_: Estas son imágenes de Terrasa en estos momentos. Centenares de separatistas incontrolados destrozando las calles. La policía no aparece. Hay heridos en el suelo. El Presidente del Gobierno sin comparecer. Si hace falta que se envíe el ejército pero no podemos seguir así.</t>
  </si>
  <si>
    <t>https://twitter.com/Bcnisnotcat_/status/1070802645567328256</t>
  </si>
  <si>
    <t>pic.twitter.com/jAVTfd9Hks</t>
  </si>
  <si>
    <t>Una vida en dos pasiones.. Deporte🥋 &amp; Patriotismo🇪🇸 #StopSeparatismo #StopCorrupción</t>
  </si>
  <si>
    <t>Gato Curioso</t>
  </si>
  <si>
    <t>"información veraz", "información veraz"... Ah, si. Es aquello que quedó reflejado en una sentencia, que llevo a @eduardoinda a los tribunales. Cuando informó en @okdiario, que @Pablo_Iglesias_ cobraba a través de un paraíso fiscal, dinero de Venezuela.. 😼 RT @pnique: Junto con la educación, la INFORMACIÓN VERAZ es uno de los requisitos más fundamentales para tener una sociedad democrática y justa. Por eso te recomiendo este debate en @Fort_Apache_. Es tarea colectiva y también personal el no dejarnos engañar.</t>
  </si>
  <si>
    <t>Inaceptable el odio comunista hacia VOX no se puede tolerar esta falta tan grave a la libertad de conciencia @PdmIllesBalears Pablo Iglesias es el principal responsable RT @Santi_ABASCAL: Dijimos que señalábamos a Pablo Iglesias como instigador de este clima de odio y de las agresiones que se produjeran...y hoy lo reiteramos. ¿Hasta cuándo van a a seguir los comunistas podemitas rompiendo la convivencia?</t>
  </si>
  <si>
    <t>Aquí para leer gilipolleces de gente®... Antes de opinar sobre mí - Os comento esto es Twitter y se ponen tonterías, lo malo es hacerlas en la vida real</t>
  </si>
  <si>
    <t>http://www.LeyViolenciaIntrafamiliarYA.org</t>
  </si>
  <si>
    <t>Nano</t>
  </si>
  <si>
    <t>Hasta que me devuelvan la cuenta te voy a estar recordando quien soy y quien eres tu y recuerda ppr muchas cuentas que me quites tengo mas cuentas en twitter que tu pelos asi que... @Pablo_Iglesias_</t>
  </si>
  <si>
    <t>Pablo Iglesias no es tan fiero como lo pintan, sólo es un niño Análisis fisiognómico ✔️ ESTAR EN CAMPAÑA, 🔗 BUSCANDO LA SOLUCIÓN,</t>
  </si>
  <si>
    <t>https://goo.gl/JCxFTR?gjg35=4717818678</t>
  </si>
  <si>
    <t>El pelazo de @Pablo_Iglesias_ ha sido su inspiración RT @MuyLiberal: Podemos usa como logo de su 'república' una imagen diseñada para peluquerías</t>
  </si>
  <si>
    <t>Bertín Osborne: "A Pablo Iglesias no le voto ni muerto, ni harto de vino" 😂😂😂👏👏👏</t>
  </si>
  <si>
    <t>Ha querido imitar a Marianne ,la Republique Française. Esto Ocurrió en @1789 @ahorapodemos Es una historia, un país . Están en otro planeta. Ocupen se de las necesidades de la gente Y menos rollo @Pablo_Iglesias_ @agarzon</t>
  </si>
  <si>
    <t>https://pbs.twimg.com/media/DtxBqqjWkAAKOWn.jpg</t>
  </si>
  <si>
    <t>La realidad andaluza @Pablo_Iglesias_ @pnique @Santi_ABASCAL @Ortega_Smith</t>
  </si>
  <si>
    <t>https://pbs.twimg.com/media/DtxBoXRXgAEXAOk.jpg</t>
  </si>
  <si>
    <t>Sabe ud cual es la diferencia entre vivir y sobrevivir de los restos q le permiten los comunistas? La diferencia es Q el MALDITO @PABLO_IGLESIAS TIENE UNA MANSIÓN PQ A UD LE ROBARON SU CASA .. cuando con las barbas de ni vecino arder puse las mías en remojo</t>
  </si>
  <si>
    <t>Res non verba</t>
  </si>
  <si>
    <t>Ya podrían aprender algo @Pablo_Iglesias_ y su vocero @pnique . La deriva totalitaria que está tomando @ahorapodemos es orwelliana. Si no me gusta lo que sale de las urnas, a reventar las calles. Mal camino, Kamaradas RT @GLlamazares: El resultado electoral y Vox tienen toda la legitimidad. No hay votos de primera y de segunda. Otra cosa es que considero grave su irrupción, con consecuencias negativas para las trabajadoras de Andalucía y de España. Su programa reaccionario contamina la política de la derecha.</t>
  </si>
  <si>
    <t>https://twitter.com/gllamazares/status/1070408761322455045</t>
  </si>
  <si>
    <t>Liberal, aprendiz de twitero, filósofo en potencia y amante de la cultura con mayúsculas</t>
  </si>
  <si>
    <t>PERIFÉRICA▶TV</t>
  </si>
  <si>
    <t>enrique</t>
  </si>
  <si>
    <t>La izquierda siempre será la misma basura, viven de la mentira y la manifestacion. @Pablo_Iglesias_ no cuentas más que con los 5 imbeciles de siempre. RT @PanAmPost_es: A Iglesias se le ha caído la máscara. Ese disfraz de tolerante. Se mostró, con las elecciones en Andalucía, como un fascista y totalitario  Por @OrlvndoA #España</t>
  </si>
  <si>
    <t>https://twitter.com/PanAmPost_es/status/1070800085305430016
http://bit.ly/2FUGanV</t>
  </si>
  <si>
    <t>Península Ibérica</t>
  </si>
  <si>
    <t>#videos de #información y #actualidad social y #política de @PerifericaLabs</t>
  </si>
  <si>
    <t>Gym fan . México .</t>
  </si>
  <si>
    <t>https://www.youtube.com/channel/UCez8wUpapFjDXh2updwvBtA?view_as=subscriber</t>
  </si>
  <si>
    <t>#40AñosDeConstitución Hoy @Pablo_Iglesias_ no ha saludado al Rey, cuando este le llamó cua do nacieron sus hijos para interesarse Cada uno de muestra como es</t>
  </si>
  <si>
    <t>https://www.abc.es/espana/abci-pablo-iglesias-agradece-llamada-reyes-preguntando-hijos-201809031938_noticia.html</t>
  </si>
  <si>
    <t>#DiaDeLaConstitucion 🤔 @Pablo_Iglesias_ reivindica la República en el acto con los Reyes y evita saludar a Felipe VI.</t>
  </si>
  <si>
    <t>http://lrzn.es/hkasn2</t>
  </si>
  <si>
    <t>https://pbs.twimg.com/media/Dtw8sVZXgAAp-RI.jpg</t>
  </si>
  <si>
    <t>"España boxea diplomáticamente por debajo de su peso real en el exterior" @CasaReal @sanchezcastejon @Albert_Rivera @Pablo_Iglesias_ @pablocasado_  vía @elmundoes</t>
  </si>
  <si>
    <t>Devuélveme mi País</t>
  </si>
  <si>
    <t>...que poca vergüenza tienes camarada, a VZLA la hundió el CastroChavismo, Hugo Chávez, ese maldito ególatra comunista al que Pablo Iglesias no solo admira sino que imita. QUE POCA VERGÜENZA TENÉIS LOS COMUNISTAS RT @adela_vila: @LOCOCOMIO @GabanSanchez @Carol99504297 @Pablo_Iglesias_ Venezuela y podemos no es comparable. Pero seguimos sin saber que paises inmensamente ricos viven en la miseria mas absoluta precisamente por los abusos de poder,por el mal repartir del poder de la riqueza,del petróleo en sí. Ojalá Venezuela se recupere y les dejen vivir en paz</t>
  </si>
  <si>
    <t>https://www.elmundo.es/opinion/2018/06/16/5b23e08dca474195358b4672.html</t>
  </si>
  <si>
    <t>https://twitter.com/adela_vila/status/1071221446943367168</t>
  </si>
  <si>
    <t>Anna Viscosa 💙❤️</t>
  </si>
  <si>
    <t>Esto es lo que quiere el hijo de la gran puta de @Pablo_Iglesias_ y si, lo repito, eres un gran hijo de puta!!! RT @lasvocesdelpue: Carga policial en #Terrassa (Barcelona). Los escuadrones de la muerte del independentismo lanzan piedras, botellas etc. contra los mozos. Han quemado contenedores intentado agredir a las españolas y españoles de @vox_es en Terresa</t>
  </si>
  <si>
    <t>Ignacio Galañena</t>
  </si>
  <si>
    <t>"A Pablo Iglesias no le voto ni muerto, ni harto de vino". Bien dicho, @BertinOsborne!! 👏👏👏</t>
  </si>
  <si>
    <t>https://twitter.com/lasvocesdelpue/status/1070739767489384450</t>
  </si>
  <si>
    <t>pic.twitter.com/B2dnhj5d9l</t>
  </si>
  <si>
    <t>Barcelona-España</t>
  </si>
  <si>
    <t>Francotiradora, pero no tengo wasap!!! CULE HASTA LA MEDULA!!! 💙❤️ NO MD</t>
  </si>
  <si>
    <t>Pamplona, Spain</t>
  </si>
  <si>
    <t>Aprendiendo día a dia. Siguiendo la estela de San Fco. Javier, como buen Navarro. Sufridor rojillo y enamorado de las Fiestas mas universales, SF</t>
  </si>
  <si>
    <t>Olguis</t>
  </si>
  <si>
    <t>La vivienda pública pisada por hacer negocio hasta el último momento. #SOSlas1000 necesitamos ya que estamos abocados al injusto precio que nos faciliten la compra sin más trabas. Olvidados por la justicia. @sanchezcastejon @ayto3cantos @Pablo_Iglesias_</t>
  </si>
  <si>
    <t>Gracias a la Constitución tenemos la libertad. Lo dice Pablo Iglesias, pero acto seguido: Sí el rey evitó un golpe de Estado gracias, pero no se puede tener una monarquía que llega por fecundación. ¿En podemos se llega por copulacion?</t>
  </si>
  <si>
    <t>pic.twitter.com/CjsguBoNiI</t>
  </si>
  <si>
    <t>pic.twitter.com/m7o6qXHXVm</t>
  </si>
  <si>
    <t>Luchando por lo que es justo</t>
  </si>
  <si>
    <t>https://twitter.com/MMartinEspin/status/1038777974517063681?s=19</t>
  </si>
  <si>
    <t>Pablo Iglesias reconoce que se ha dejado usar por Irán para desestabilizar España</t>
  </si>
  <si>
    <t>Kike B.</t>
  </si>
  <si>
    <t>Algunos deberían estar sintonizando La 2 y ver "40 años de democracia", @Pablo_Iglesias_</t>
  </si>
  <si>
    <t>Vigo, España</t>
  </si>
  <si>
    <t>Friki, padre, esposo, adicto a la ciencia, la real y la de ficcion, a la música, al cine, a las series, a la F1, en otras palabras raro, raro, raro</t>
  </si>
  <si>
    <t>Culé de por allí</t>
  </si>
  <si>
    <t>Éste (@Pablo_Iglesias_) crea La republica feminista y usa como logo el de un salón d belleza 😆 luego se referirà a él y su bufón como "nosotras" para arreglarlo. Un ridículo, otro.. Un plagio Y un poco más de machismo</t>
  </si>
  <si>
    <t>Sevilla 24 horas</t>
  </si>
  <si>
    <t>Bertín Osborne: “A Pablo Iglesias no le voto ni muerto, ni harto de vino”  Leer Ir a la fuente Author: ANTONIO DIÉGUEZ Powered by WPeMatico La entrada Bertín Osborne: “A Pablo Iglesias no le voto ni muerto, ni harto de vino” aparece primero en Noticia…</t>
  </si>
  <si>
    <t>por allí</t>
  </si>
  <si>
    <t>Me gusta el FUTBOL: lo veo, analizo, escucho, hablo, leo, aprendo y sobre todo, me equivoco muchísimo. Ibiza</t>
  </si>
  <si>
    <t>https://culedeporalli.blogspot.com.es/</t>
  </si>
  <si>
    <t>https://ift.tt/2B3cxeq</t>
  </si>
  <si>
    <t>Diario digital con noticias de Sevilla, Andalucía y el mundo</t>
  </si>
  <si>
    <t>Soypin</t>
  </si>
  <si>
    <t>Te ves guapo cuando hablas @Pablo_Iglesias_ ? eres la imagen de la chulería, la soberbia y la prepotencia.  Sigue sigue...</t>
  </si>
  <si>
    <t>http://www.sevilla24horas.com</t>
  </si>
  <si>
    <t>https://bit.ly/2AW3tIo</t>
  </si>
  <si>
    <t>El indocumentado de Pablo Iglesias propone el caos para la elección del poder judicial 🔗 POR LA REPÚBLICA CONSTITUCIONAL, 📣 POTENCIA REPUBLICANA,</t>
  </si>
  <si>
    <t>Hasta el chichi/chocho de menguaos/ ás, catalibanes/as, lazibobos/as, separalistos/as y los más tontos/as de cada edad en general. Joe... Gracias PSOE.</t>
  </si>
  <si>
    <t>https://goo.gl/Cpf6XA?zmx27=7242885290</t>
  </si>
  <si>
    <t>Siempre de Novena</t>
  </si>
  <si>
    <t>«señor» @Pablo_Iglesias_ mira la que estás liando. Esto NO puede quedar así. RT @lasvocesdelpue: Carga policial en #Terrassa (Barcelona). Los escuadrones de la muerte del independentismo lanzan piedras, botellas etc. contra los mozos. Han quemado contenedores intentado agredir a las españolas y españoles de @vox_es en Terresa</t>
  </si>
  <si>
    <t>Juan Antonio Tirado</t>
  </si>
  <si>
    <t>http://dlvr.it/Qt6JL2</t>
  </si>
  <si>
    <t>jienense de pura cepa y costalero por la gracia de Dios.</t>
  </si>
  <si>
    <t>https://pbs.twimg.com/media/Dt3AbapUwAInrPf.jpg</t>
  </si>
  <si>
    <t>Lee este hilo @Pablo_Iglesias_ y, ENTÉRATE!!!! RT @bellaindomita: Por desgracia, he vivido varias experiencias de malos tratos en primera persona. Estoy hasta el coño de Irenes Montero, de Leticias Dolera y no digamos ya de Echeniques o Iglesias que no sé con qué clase de moral se atreven a pronunciar feminismo, igualdad o justicia.</t>
  </si>
  <si>
    <t>Periodista. Onda Cero. Editor de iBooks, director de @Stonewall_iBook; Radio Inter, Onda Madrid, Radio Voz, City Fm; Prensa4, El Telegrafo y Fotos; PopularTV...</t>
  </si>
  <si>
    <t>https://itunes.apple.com/es/book/gettysburg-1863/id665369445?mt=11</t>
  </si>
  <si>
    <t>https://twitter.com/bellaindomita/status/1070277036290260992</t>
  </si>
  <si>
    <t>ada martin</t>
  </si>
  <si>
    <t>Ignacio J. Reilly 🇪🇸🇪🇺👑+🇮🇱</t>
  </si>
  <si>
    <t>La Constitución del 78 la tejieron gentes políticamente enfrentadas pero con afán constructivo y en beneficio de la sociedad. Ahora hay gentes que se inventan enfrentamientos destructivos, en perjuicio de todos y beneficio propio a corto plazo. Hablo de @Pablo_Iglesias_</t>
  </si>
  <si>
    <t xml:space="preserve">Venezuela </t>
  </si>
  <si>
    <t>El patriota ama a su pueblo. El nacionalista odia al resto de pueblos.</t>
  </si>
  <si>
    <t>Mauricio Navarrete</t>
  </si>
  <si>
    <t>Puedes ser monarquico o republicano, pero @Pablo_Iglesias_ , negar el saludo a alguien... es educación básica... esa que no te dio tu P madre en casa cuando te debieron dar dos hostias. Aunque seguro si no te educo... porque ella tiene igual de poca educación</t>
  </si>
  <si>
    <t>...no tengo nada que aprender de ese comunista ¿o acaso no es comunista Pablo Iglesias? y no me digas camarada que él no lo es, porque lo ha admitido y es del dominio público. No confío en comunustas, los he sufrido en carne, camarada. Vaya a Vzla o a Cuba para que se entere bien RT @adela_vila: @LOCOCOMIO @GabanSanchez @Carol99504297 @Pablo_Iglesias_ A un interes mas alto que el que yo misma pago???Pues que mientas la puedan pagar,sin robar a nadie... Pero vamos a dejarlo.Evidentemente no vamos a llegar a un acuerdo.Yo no odio a nadie.Dele una oportunidad,escúchele,no se deje manipular, eso ,también lo enseñan en la uni.</t>
  </si>
  <si>
    <t>https://twitter.com/adela_vila/status/1071216493868785664</t>
  </si>
  <si>
    <t>Viendo, leyendo, riendo y sintiendo vergüenza ajena. Progre de derechas... se puede! hay suficientes gilipollas en los dos lados para odiar. Animal Lover.</t>
  </si>
  <si>
    <t>Antonio Fernández</t>
  </si>
  <si>
    <t>América Hoy</t>
  </si>
  <si>
    <t>Como te puedes quejar @agarzon de falta de consideración al PCE cuando lo laminastes al "vender" el partido a @Pablo_Iglesias_ y hacerlo desaparecer de la escena política. #Razonesparaconfiar RT @agarzon: Hoy los actos oficiales nos venden la Constitución y la democracia como un producto creado por brillantes prohombres (no mujeres) de consenso. Ausente toda consideración al movimiento obrero, al PCE y a la lucha antifranquista, verdadero motor de la democracia.</t>
  </si>
  <si>
    <t>http://dlvr.it/Qt6HCk</t>
  </si>
  <si>
    <t>https://pbs.twimg.com/media/Dt2-BZAU8AAs3a1.jpg</t>
  </si>
  <si>
    <t>Sur de la Florida</t>
  </si>
  <si>
    <t>Aca y ahora, ultimas noticias. Cuando ya conoces las noticias, nosotros te contamos la verdad. Periodico Hispano Lider en el S de la Florida.</t>
  </si>
  <si>
    <t>http://www.americahoy.net</t>
  </si>
  <si>
    <t>Socialista. Atletista. Usuario y defensor de la bicicleta. Licenciado en CCQuimicas</t>
  </si>
  <si>
    <t>Jajajaja PATETICOS, cutres, tristes, lamentables. Es que ni para esto tiene un poquito de nivel @Pablo_Iglesias_ @pnique @ierrejon @Irene_Montero_ @ahorapodemos ... esta mañana todos con el icono... y han salido corriendo a cambiarlo después del ridiculo evidente!</t>
  </si>
  <si>
    <t>https://pbs.twimg.com/media/Dtw4RXtX4AAFdHa.jpg</t>
  </si>
  <si>
    <t>afrvet esp</t>
  </si>
  <si>
    <t>Pablo Iglesias cederá su chalet en Galapagar para los inmigrantes de Ceuta  vía @ESdiario_com</t>
  </si>
  <si>
    <t>https://www.esdiario.com/193975522/Pablo-Iglesias-cedera-su-chalet-en-Galapagar-para-los-inmigrantes-de-Ceuta.html</t>
  </si>
  <si>
    <t>Gata. Amazona de Tabarnia</t>
  </si>
  <si>
    <t>Paris, IL</t>
  </si>
  <si>
    <t>Esto es Tarrassa ahora. La extrema izquierda a sus anchas. Hay heridos. @Pablo_Iglesias_ , tendrás que rendir cuentas!! @sanchezcastejon, podrá dormir?? El impresentable de Quim Torra, y todo su gobierno entre rejas Urge tomar medidas!!!!!</t>
  </si>
  <si>
    <t>Quédate quieto, en silencio y escucha a tu corazón. Y cuando te hable, levantate y ve donde él te lleve.</t>
  </si>
  <si>
    <t>Pedro</t>
  </si>
  <si>
    <t>Algunas personas son como libros de maldad prohibidos históricamente. Pablo Iglesias es un buen compendio de ellos, principalmente Mein Kampf, donde su lucha es contra la ley y el orden democrático. Es perverso y nocivo, como es irresponsable dejarlo acercarse ante un micrófono.</t>
  </si>
  <si>
    <t>#40añosdeconstitucion que nos han traido paz y prosperidad, esa paz y prosperidad con la que quiere acabar @Pablo_Iglesias_ y @Ahorapodemos con la inestimable colaboración del okupa @sanchezcastejon #EleccionesYa</t>
  </si>
  <si>
    <t>https://kubakokodrila.blogspot.com.es/</t>
  </si>
  <si>
    <t>https://pbs.twimg.com/media/Dtw2vddWoAUEGnM.jpg
https://pbs.twimg.com/media/DtwZBkLW4AA8dPX.jpg</t>
  </si>
  <si>
    <t>Originalidad, vía @Pablo_Iglesias_ y @ahorapodemos . RT @Angelcostalero: @PhilAMellows Qué morrazo y qué pronto han aprendido del doctor Cum-Fraude</t>
  </si>
  <si>
    <t>https://twitter.com/angelcostalero/status/1070683521218461697</t>
  </si>
  <si>
    <t>https://pbs.twimg.com/media/DtvUuX1W0AAjqlN.jpg</t>
  </si>
  <si>
    <t>WarPig</t>
  </si>
  <si>
    <t>Mientras las protestas de fascistas(ellos se hacen llamar #AntiFascista) en varias ciudades se produce. El autor intelectual de todos los altercados está bien protegido en su chalet por guardias civiles, partiéndose de la risa de lo que está consiguiendo. @Pablo_Iglesias_</t>
  </si>
  <si>
    <t>Pablemos</t>
  </si>
  <si>
    <t>Acertada reflexión de Federico Jiménez Losantos analizando las palabras de Pablo Iglesias llamando a la violencia en las calles porque no le gustó lo que votaron los andaluces. El Marqués de Galapagar es un tirano, un totalitario comunista, odia la libertad y la Democracia.</t>
  </si>
  <si>
    <t>https://pbs.twimg.com/media/Dt22VOlW4AAZ2UK.jpg</t>
  </si>
  <si>
    <t>República Islámica de Irán</t>
  </si>
  <si>
    <t>De todos modos, el nazismo posee a mis ojos una gran superioridad sobre el comunismo, y es que desapareció en 1945. Piotr Rawicz.</t>
  </si>
  <si>
    <t>Español. Contrario al Marxismo económico y al Marxismo Cultural.</t>
  </si>
  <si>
    <t>La constitución con en la q los españoles no olvidaron su historia recién, sino que, por recordarla, decidieron no repetirla @CasaReal @sanchezcastejon @Albert_Rivera @Pablo_Iglesias_ @pablocasado_</t>
  </si>
  <si>
    <t>https://blogs.elconfidencial.com/espana/matacan/2018-12-06/aniversario-constitucion-espana-envidiada-ignorada_1689718/?utm_campaign=BotoneraWebapp&amp;utm_source=twitter&amp;utm_medium=social</t>
  </si>
  <si>
    <t>Carta abierta a Pablo Iglesias de “un fascista” - Juan Manuel Jimenez Muñoz. Médico y escritor Malagueño  vía @wordpressdotcom</t>
  </si>
  <si>
    <t>https://elheraldomontanes.wordpress.com/2018/12/04/carta-abierta-a-pablo-iglesias-de-un-fascista-juan-manuel-jimenez-munoz-medico-y-escritor-malagueno/</t>
  </si>
  <si>
    <t>Un médico de Sedella viraliza una carta a Pablo Iglesias tras las elecciones andaluzas  vía @opiniondemalaga</t>
  </si>
  <si>
    <t>María De Jesús C.G.1</t>
  </si>
  <si>
    <t>.@Pablo_Iglesias_ .@ierrejon .@MonederoJC .@pnique Son una partida de corruptos, vagos comunistas, que se lucran con los dineros de otros países, como #Venezuela. Basura comunista... Y de paso ni pagan por usar el logo de una peluquería ajena, ladrones... 😠😡😠 RT @MuyLiberal: Podemos usa como logo de su 'república' una imagen diseñada para peluquerías</t>
  </si>
  <si>
    <t>https://www.laopiniondemalaga.es/buzzeando/2018/12/04/medico-sedella-viraliza-carta-pablo/1052131.html</t>
  </si>
  <si>
    <t>«Y es que cuando existe el amor, basta con estar; la presencia de Dios todo lo llena, todo lo colma».♥ ♥</t>
  </si>
  <si>
    <t>Yago M</t>
  </si>
  <si>
    <t>"Dijimos que señalábamos a Pablo Iglesias como instigador de este clima de odio y de las agresiones que se produjeran...y hoy lo reiteramos" @Santi_ABASCAL . Y reiteramos la historia y reiteramos.</t>
  </si>
  <si>
    <t>https://nyti.ms/2G7GZKx</t>
  </si>
  <si>
    <t>España, envidiada por el mundo e ignorada y maltratada por los idiostas de los españoles @UEmadrid @CasaReal @Pablo_Iglesias_ @pablocasado_ @Albert_Rivera @sanchezcastejon</t>
  </si>
  <si>
    <t>Amor en barbecho</t>
  </si>
  <si>
    <t>Francisco Martinez</t>
  </si>
  <si>
    <t>Me gustaria ver la cara de Pablo Iglesias cuando sus hijos le pidan para reyes la Xvox</t>
  </si>
  <si>
    <t>Más comentados hoy en Derecha/Centro Dcha.: ➀ @ANDRES_CANO42 ↓ ➁ @FrayJosepho ↓ ➂ @sanchezcastejon ↓ ➃ @Albert_Rivera ↓ ➄ @ahorapodemos ↓↓ ➅ @PPopular ↑ ➆ @agarzon ↓ ➇ @InesArrimadas ↑ ➈ @vox_es ↑ ➉ @Pablo_Iglesias_ ↑</t>
  </si>
  <si>
    <t>Almeria</t>
  </si>
  <si>
    <t>https://pbs.twimg.com/media/Dtw1LxnXcAYjihU.jpg</t>
  </si>
  <si>
    <t>El delito de odio está castigado en el Código Penal con pena de prisión de uno a cuatro años y además con la pena de multa de seis a doce meses. ¡¡A LA CÁRCEL!!</t>
  </si>
  <si>
    <t>https://www.change.org/p/ministerio-de-justicia-pena-de-prisi%C3%B3n-de-1-a-4-a%C3%B1os-para-pablo-iglesias-por-delito-de-odio?recruiter=87271446&amp;utm_source=share_petition&amp;utm_medium=twitter&amp;utm_campaign=psf_combo_share_initial.pacific_email_copy_en_gb_4.v1.pacific_email_copy_en_us_5.v1.pacific_email_copy_en_us_3.control.pacific_post_sap_share_gmail_abi.control.lightning_2primary_share_options_more.control&amp;utm_term=psf_combo_share_initial.pacific_email_copy_en_us_3.control.pacific_email_copy_en_us_5.v1.pacific_email_copy_en_gb_4.v1.pacific_post_sap_share_gmail_abi.control.lightning_2primary_share_options_more.variant</t>
  </si>
  <si>
    <t>Más comentados hoy en Izquierda/Centro Izqda.: ➀ @agarzon ↓ ➁ @sanchezcastejon ↑ ➂ @Pablo_Iglesias_ ↑ ➃ @dbravo ↑ ➄ @elpce ↓ ➅ @iunida ↑↑↑ ➆ @ErnestoEkaizer ↑↑ ➇ @PPopular ↓ ➈ @pnique ↑ ➉ @PSOE ↑</t>
  </si>
  <si>
    <t>https://pbs.twimg.com/media/Dtw1Lq1XcAEvyhM.jpg</t>
  </si>
  <si>
    <t>Más influyentes hoy en Izquierda/Centro Izqda.: ➀ @agarzon ↑↑ ➁ @dbravo ↑ ➂ @Pablo_Iglesias_ ↑↑ ➃ @ErnestoEkaizer ↑↑ ➄ @pnique ↑ ➅ @Panik81 ↑ ➆ @iunida ↑↑↑ ➇ @alajamat ↓↓↓ ➈ @Miguel_Ardanuy ↓ ➉ @lagarder81 ↑</t>
  </si>
  <si>
    <t>https://pbs.twimg.com/media/Dtw09KuW4AEwY1K.jpg</t>
  </si>
  <si>
    <t>Isaac Franco Galindo</t>
  </si>
  <si>
    <t>Pablo Iglesias: "La mejor vacuna para no volver al pasado es una repúbli...  vía @YouTube</t>
  </si>
  <si>
    <t>https://youtu.be/yBrEztDIWE0</t>
  </si>
  <si>
    <t>RosaMaria</t>
  </si>
  <si>
    <t>Totalmente de acuerdo. Además @Pablo_Iglesias_ @agarzon y @pnique deberían ser #InhabilitadosParaCargosPúblicos e imputados como responsables directos de incitar al odio entre españoles y actos violentos en España, con publicidad en Medios de C. cadenas-TV y redes sociales. RT @Mggdip: @lasvocesdelpue @vox_es Que pague @ahorapodemos, @Pablo_Iglesias_ @iunida y @agarzon los destrozos en el mobiliario urbano y las lesiones a @mossos y a @policia. #Violencia #fascista</t>
  </si>
  <si>
    <t>COAPA, MÉXICO</t>
  </si>
  <si>
    <t>SOCIOLOGÍA @UNAM_MX Investigador en Ciencias Sociales, #DDHH, CINE Y Fotografía</t>
  </si>
  <si>
    <t>https://twitter.com/Mggdip/status/1070770860435345419</t>
  </si>
  <si>
    <t>Aclaración sobre art. #7DNI y admisión Demanda-A.N.Fue otro #FRAUDEJudicial+:Políti/-jueces y Bancos,se quedaron con todo:9.350.000 E. https://gab.ai/RosaMSJ</t>
  </si>
  <si>
    <t>Fernando</t>
  </si>
  <si>
    <t>http://chng.it/Dh4xTP9g</t>
  </si>
  <si>
    <t>🇪🇸JoMi🇪🇸</t>
  </si>
  <si>
    <t>Hay un mensaje para ti @pnique @Pablo_Iglesias_ RT @ooCarrillo: 🎥 Este documento muestra la herencia estalinista de PabLenin ☭ y demás realea podemita. Les faltó el piolet, hubiera sido mucho cante... ▶️</t>
  </si>
  <si>
    <t>https://twitter.com/oocarrillo/status/1066442422878646272</t>
  </si>
  <si>
    <t>pic.twitter.com/nmP4oC0nYZ</t>
  </si>
  <si>
    <t>Sonia Cortes</t>
  </si>
  <si>
    <t>Ese es el camino @Pablo_Iglesias_is aleatorios, los colegios,ossalarios, la luz, ecología, animales sus derechos...transporte público, calles peatonales, coches fuera del centro d la ciudad, piscinas de i vierno pública, recetas gratis para crónicos, ayuda con dentistas, ayuda RT @Pablo_Iglesias_: “Quizá la izquierda necesita dejar de lado la épica para enamorarse de lo efectivo. Aceptar que no se acerca uno a la urna para cambiar el mundo, sino para que no le cierren el ambulatorio del barrio” Interesante este artículo de @gerardotc 👇🏼</t>
  </si>
  <si>
    <t>👉🏼👉🏼🇪🇸👈🏼👈🏼 Español como tú.</t>
  </si>
  <si>
    <t>Punto Rojo</t>
  </si>
  <si>
    <t>Llevo viendo el @El_Intermedio desde los inicios y creo que alguien debiera avisarlos de que ya no gobierna ni el @PPopular ni @marianorajoy ahora gobierna @PSOE @ahorapodemos con @sanchezcastejon y @Pablo_Iglesias_</t>
  </si>
  <si>
    <t>María Pilar Fernández Perez</t>
  </si>
  <si>
    <t>Pablo Iglesias explicará el próximo 13 de diciembre la financiación de Podemos en el Senado  Enviado desde @updayESP</t>
  </si>
  <si>
    <t>https://f7td5.app.goo.gl/HwmXr</t>
  </si>
  <si>
    <t>No me gustan las injusticias Anti pp anti c's a ti franquista</t>
  </si>
  <si>
    <t>Esto va por libre miro lo que me interesa y cuando me equivoque, me habré equivocado.</t>
  </si>
  <si>
    <t>CapitanTantán</t>
  </si>
  <si>
    <t>Lo ocurrido hoy en #Terrassa me recuerda que tengo que agradecer a @Pablo_Iglesias_ sus palabras de ánimo a la ultraizquierda para la lucha contra el "fascismo". Os deseo a todos un feliz y tranquilo prospero año 1936.</t>
  </si>
  <si>
    <t>Buscador y defensor de la verdad. Si te duele, ya te apañas.</t>
  </si>
  <si>
    <t>Se te ve demasiado el plumero @Pablo_Iglesias_ RT @piruvo: Aquí el demócrata, moderado y sobretodo constitucionalista vendedor de crecepelo, el flautista de Galapagar</t>
  </si>
  <si>
    <t>Las amenazas de la ultraizquierda capitaneada por Pablo Iglesias empiezan a dar sus frutos. Los que ellos llaman ultraderecha, de momento solo aguantan las agresiones.</t>
  </si>
  <si>
    <t>https://twitter.com/piruvo/status/1070715725076197376</t>
  </si>
  <si>
    <t>https://pbs.twimg.com/media/DtvyRMAXcAEAAtf.jpg</t>
  </si>
  <si>
    <t>Manuel Ruiz</t>
  </si>
  <si>
    <t>¡Enhorabuena @Pablo_Iglesias_ ,lo estás consiguiendo, sólo espero que cuando la sangre llegue, que a éste paso llegará, los españoles te exijan responsabilidades, y no dejen que las eludas:</t>
  </si>
  <si>
    <t>Chalet Pablo Iglesias: Un vecino de Galapagar denuncia que Iglesias usa contenedores del Ayuntamiento dentro de su casoplón</t>
  </si>
  <si>
    <t>pic.twitter.com/3QZe7nO3QS</t>
  </si>
  <si>
    <t>https://okdiario.com/videos/2018/10/04/vecino-galapagar-denuncia-que-iglesias-usa-contenedores-del-ayuntamiento-dentro-casoplon-3195749#.XAsUdVIQ2cI.twitter</t>
  </si>
  <si>
    <t>Todo muy democrático en #cataluña, el ambiente ideal para @sanchezcastejon y @Pablo_Iglesias_ RT @HelenDMyers: Imatges de les càrregues de l’#ARRO i #BRIMO dels @Mossos per evitar l’entrada dels manifestants independentistes a la plaça de #Girona on @vox_es ha convocat a les 11h.</t>
  </si>
  <si>
    <t>https://twitter.com/helendmyers/status/1070599828978192385</t>
  </si>
  <si>
    <t>pic.twitter.com/7qGfLQgXnT</t>
  </si>
  <si>
    <t>maría⏪▶️⏯⏩</t>
  </si>
  <si>
    <t>"El Senado es un cementerio de elefantes y no es útil". ¿Cuántos senadores tiene Podemos? @Pablo_Iglesias_</t>
  </si>
  <si>
    <t>Marine Pond Garden</t>
  </si>
  <si>
    <t>Fran Rivera llama «golfo» a Pablo Iglesias tras las elecciones andaluzas</t>
  </si>
  <si>
    <t>https://pbs.twimg.com/media/DtwyHs1W0AEWJRi.jpg</t>
  </si>
  <si>
    <t>https://www.abc.es/estilo/gente/abci-twitter-fran-rivera-llama-golfo-pablo-iglesias-tras-elecciones-andaluzas-201812041148_noticia.html#ns_campaign=rrss&amp;ns_mchannel=abc-es&amp;ns_source=fb&amp;ns_linkname=cm-general&amp;ns_fee=0</t>
  </si>
  <si>
    <t>No traiciones a mi libertad. 🇪🇸</t>
  </si>
  <si>
    <t>Tienda especializada en acuariofilia marina, tropical, estanques e ictioterapia. http://www.masqpeces.com http://www.facebook.com/MasQpeces http://www.scoop.it/t/marine-pond-garden</t>
  </si>
  <si>
    <t>🇪🇸🇵🇪#Nepptunno1903#🇵🇪🇪🇸</t>
  </si>
  <si>
    <t>Los socios de gobierno @gabrielrufian @sanchezcastejon @Pablo_Iglesias_ celebrando el Día de la Constitución</t>
  </si>
  <si>
    <t>pic.twitter.com/fhzkQxntMd</t>
  </si>
  <si>
    <t>La Réunion, France. 🇫🇷</t>
  </si>
  <si>
    <t>Cuando quieran dividirnos y decir que las cosas van mal, recordar lo que sentís ahora, el orgullo que sentís. Todos somos 1, eso es ser del Atleti' F. Torres🇵</t>
  </si>
  <si>
    <t>https://m.casadellibro.com/libro-la-casita-del-trigo/9788417573300/7408561</t>
  </si>
  <si>
    <t>Víctor Arrogante ✊</t>
  </si>
  <si>
    <t>Hoy se ha conmemora los #40AñosDeConstitución "reflexionando en torno a los retos que afronta España y el futuro de nuestra democracia."  (@Pablo_Iglesias_) #porlaRepública</t>
  </si>
  <si>
    <t>https://pbs.twimg.com/media/Dtqgz7jWsAEpx1R.jpg</t>
  </si>
  <si>
    <t>Profesor. Ayer y hoy militante por la justicia, la igualdad y la solidaridad. Inmediatamente me di cuenta que era algo por lo que merecía la pena luchar</t>
  </si>
  <si>
    <t>http://www.multiforo.eu</t>
  </si>
  <si>
    <t>▶️ #Okpinión de María Claver 👉 Ánimo, @Pablo_Iglesias_, es difícil hacerlo peor</t>
  </si>
  <si>
    <t>https://okdiario.com/opinion/2018/12/06/animo-pablo-dificil-hacerlo-peor-3437339?utm_campaign=ok&amp;utm_medium=Social&amp;utm_source=Twitter#Echobox=1544129029</t>
  </si>
  <si>
    <t>Luis Seco de Lucena</t>
  </si>
  <si>
    <t>Que dicen que en esta peluquería hacen descuento a los simpatizantes de Podemos y todos los meses sortean entre sus clientes un fin de semana con todo incluido en el chalet de @Pablo_Iglesias_</t>
  </si>
  <si>
    <t>https://pbs.twimg.com/media/Dtwwlq0XgAMabls.jpg</t>
  </si>
  <si>
    <t>Solo alguien que pasa por aquí.</t>
  </si>
  <si>
    <t>RGA</t>
  </si>
  <si>
    <t>Pepita Mena Martín</t>
  </si>
  <si>
    <t>Oye @Pablo_Iglesias_ @Irene_Montero_ Lo de mandar a los vuestros a luchar contra los fascistas y toda esa retahíla de gilipolleces habituales vuestras desde el Chalet de Galapagar ¿es por comodidad o por simple hipocresía y cinismo progre?</t>
  </si>
  <si>
    <t>Donde está la Fiscalía.Aún espero que se impute al coletas Pablo Iglesias por incitación al odio y a la violencia!Qué clase de justicia tenemos en España queremos nuestro país y no vamos a permitir que unos descerebrados nos metan en una guerrera civil porque no gané en Andalucia RT @libertaddigital: Iglesias se alza contra las urnas mientras pide que la jefatura del Estado se decida en las urnas</t>
  </si>
  <si>
    <t>https://twitter.com/libertaddigital/status/1070986430560722944
http://dlvr.it/Qt34yX</t>
  </si>
  <si>
    <t>Gerona, Figueras</t>
  </si>
  <si>
    <t>Soy abuela bisabuela y madre coraje soy muy española de Isla Cristina amo mi bandera y mi partido las opiniones hay que respetarlas 🇪🇸✌️</t>
  </si>
  <si>
    <t>BLANCO PURO, pero sobre todo Español ¡casi ná! ah! también del Real y de mi Lorca Deportiva.</t>
  </si>
  <si>
    <t>carlos juma</t>
  </si>
  <si>
    <t>Lo que nace por la violencia solo se mantiene por la violencia @Pablo_Iglesias_ la necesitas, sin ella no puedes seguir. Queda explicado tu programa y el engaño en que nos han metido a tantos ingenuos.</t>
  </si>
  <si>
    <t>No permito que ningún partido político me rastree</t>
  </si>
  <si>
    <t>🌴🌴TU Y YO🌴🌴🌴</t>
  </si>
  <si>
    <t>FIRMA LA PETICIÓN DE 1 A 4 AÑOS DE PRISIÓN A PABLO IGLESIAS POR DELITO DE ODIO!</t>
  </si>
  <si>
    <t>https://www.change.org/p/ministerio-de-justicia-pena-de-prisi%C3%B3n-de-1-a-4-a%C3%B1os-para-pablo-iglesias-por-delito-de-odio</t>
  </si>
  <si>
    <t>Rodrigo Pérez de Guzmán</t>
  </si>
  <si>
    <t>correo electrónico: lunadebenidorm@gmail.com</t>
  </si>
  <si>
    <t>De eso se ha librado el rey, seguro que le sudan las manos a @Pablo_Iglesias_ | 🤢🤢🤢🤮🤮🤮 RT @eduardoinda: .@Pablo_Iglesias_ se salta el saludo protocolario a los reyes en el Congreso #40AñosDeConstitución</t>
  </si>
  <si>
    <t>https://twitter.com/eduardoinda/status/1070678157303472128
https://okdiario.com/espana/2018/12/06/iglesias-salta-saludo-protocolario-reyes-congreso-3435342?utm_campaign=inda&amp;utm_medium=Social&amp;utm_source=Twitter#Echobox=1544102868</t>
  </si>
  <si>
    <t>En Nuestra Plaza: Otra Vuelta de Tuerka - Pablo Iglesias con Tristán Ulloa.</t>
  </si>
  <si>
    <t>Madrid o Cádiz, depende. 🇪🇸</t>
  </si>
  <si>
    <t>https://ift.tt/2zPvEcc</t>
  </si>
  <si>
    <t>Con 4 líneas no tengo ni para empezar.</t>
  </si>
  <si>
    <t>https://instagram.com/arte_arquitectura_museos?utm_source=ig_profile_share&amp;igshid=1cg4p6qkbuct7</t>
  </si>
  <si>
    <t>nicola maino</t>
  </si>
  <si>
    <t>Le pregunto a @Pablo_Iglesias_ si estos degenerados son de los suyos. Conoce alguno de ellos? Se reconoce en ellos? ¿Que tal se encuentra cuando vuelve a su casita? No prueba vergüenza por sus acciones? ¿Quiere Usted que sus hijos crezcan circundados de violencias? RT @arturelpayaso2: Radicales independentistas, los amigos de Quim Torra y Puigdemont, agreden salvajemente a Álvaro de Marichalar, quien tuvo que huir para no ser linchado. Cataluña está en guerra, y quien no lo vea, que se lo haga mirar.</t>
  </si>
  <si>
    <t>Agrupacion Socialista Palma Palmilla</t>
  </si>
  <si>
    <t>#93Aniversario del fallecimiento de nuestro fundador Pablo Iglesias Posse El 9 Diciembre te esperamos!! En los Jardines de Picasso a las 12:00h. #Malaga "Los Socialistas No Mueren Se Siembran"- Pablo Iglesias Fundador del @PSOE y de @UGT_Comunica</t>
  </si>
  <si>
    <t>A por un mundo mejor!</t>
  </si>
  <si>
    <t>https://pbs.twimg.com/media/Dt2nLMIXgAYIweK.jpg</t>
  </si>
  <si>
    <t>Aramalo</t>
  </si>
  <si>
    <t>Copiáis hasta los logos @Pablo_Iglesias_ @pnique</t>
  </si>
  <si>
    <t>https://www.facebook.com/AgruSocialistaPalmaPalmilla/?modal=admin_todo_tour</t>
  </si>
  <si>
    <t>https://pbs.twimg.com/media/DtwvzMdWoAUo2TY.jpg</t>
  </si>
  <si>
    <t>Pablo Iglesias dice de Santiago Abascal que lleva décadas chupando del bote, y es verdad, pero Pablo Iglesias lleva décadas chupando del bote igual y ahora hay que gastar un pastón en protegerle a él y a su mansión caciquil.</t>
  </si>
  <si>
    <t>Stampy</t>
  </si>
  <si>
    <t>.@Pablo_Iglesias_ Tu mansión en Galapagar va a ser, ya es, tu tumba política.</t>
  </si>
  <si>
    <t>Español, a toda vena . Padre de familia numerosa. Aficionado a la música country y americana.</t>
  </si>
  <si>
    <t>RCRo</t>
  </si>
  <si>
    <t>Basta ya, España no se toca🇪🇸🇪🇸🇪🇸🇪🇸🇪🇸</t>
  </si>
  <si>
    <t>Emilio Vidal 🍊</t>
  </si>
  <si>
    <t>💇 Felipe y Leticia, se os va caer el pelo. ✔️ Firmado @Pablo_Iglesias_ #40AñosDeConstitución #FelizDiaDeLaConstitucion</t>
  </si>
  <si>
    <t>https://pbs.twimg.com/media/Dtwvt05W4AEzIuq.jpg</t>
  </si>
  <si>
    <t>Otti Mayo🇪🇸</t>
  </si>
  <si>
    <t>📶Infraestructuras de telecomunicación Móvil y Comunicación. RCD de @CsLPGC. Imposible es sólo una opinión. #MejorUnidos 🇮🇨🇪🇸🌍</t>
  </si>
  <si>
    <t>Cangas del Narcea y sus gentes en mi corazón.</t>
  </si>
  <si>
    <t>Tomar nota @Pablo_Iglesias_ @ahorapodemos @agarzon @RamonEspinar Ojalá se os ilegalice. Estamos hartos de vosotros. RT @ANTI_MERMA50: #ilegalizacionPodemosYa Estas de acuerdo en ilegalizar a @ahorapodemos ?</t>
  </si>
  <si>
    <t>Carta abierta a Pablo Iglesias.</t>
  </si>
  <si>
    <t>https://twitter.com/anti_merma50/status/1070203732061814784</t>
  </si>
  <si>
    <t>https://www.larazon.es/local/andalucia/nace-un-fascista--la-carta-viral-que-explica-a-iglesias-el-ascenso-de-vox-LO20848939</t>
  </si>
  <si>
    <t>Cecilio</t>
  </si>
  <si>
    <t>Pues ya verá @Pablo_Iglesias_ cuando se entere de que hay partidos que se llaman "falange" y cosas así que son fascistas y más franquistas que Franco. Le va a dar un parraque.</t>
  </si>
  <si>
    <t>Entrevista a PABLO IGLESIAS Cínico teórico y sinvergüenza práctico 🗣️ LaNaciónEs, ✔️ MEDIACIÓN INSTITUCIONAL,</t>
  </si>
  <si>
    <t>https://goo.gl/1Gb7yh?lhk25=8724780812</t>
  </si>
  <si>
    <t>Cualquier siglo pasado fue mejor.</t>
  </si>
  <si>
    <t>El alcalde de Zaragoza y todo su equipo de Gobierno, de Podemos e IU, imputados por prevaricación @agarzon @pnique @Pablo_Iglesias_ @sextaNoticias @24h_tve @A3Noticias @telecincoes @Canal_Noticias_ @ElCascabelTRECE @ahorapodemos</t>
  </si>
  <si>
    <t>https://www.google.es/amp/s/amp.elmundo.es/espana/2018/07/06/5b3f957c22601da77f8b4574.html</t>
  </si>
  <si>
    <t>VOX , EL VOTO ÚTIL . VIVA ESPAÑA !🇪🇸</t>
  </si>
  <si>
    <t>UN MENSAJE PARA PABLO IGLESIAS POR LOS INSULTOS Y AMENAZAS CONTRA VOX  vía @YouTube</t>
  </si>
  <si>
    <t>https://youtu.be/12Qr1C18reM</t>
  </si>
  <si>
    <t>Ay ay ay llorón del macho alfa uyyysss perdón @Pablo_Iglesias_ Los españoles sentimos vergüenza que existas tu y potemos Que le vamos facer 😀😀 RT @MediterraneoDGT: 😏 Mira @Santi_ABASCAL 👇 Pablo Iglesias: 'Me da vergüenza como español que exista VOX'</t>
  </si>
  <si>
    <t>https://twitter.com/MediterraneoDGT/status/1070302904375001090
https://www.mediterraneodigital.com/espana/comunidad-de-madrid/pablo-iglesias-me-da-vergueenza-como-espanol-que-exista-vox.html</t>
  </si>
  <si>
    <t>❝Martín, Jr.❞ 🇪🇸</t>
  </si>
  <si>
    <t>(Una vida de filosofía) . ⛔ #NoMD ⚠</t>
  </si>
  <si>
    <t>💫 𝒱ℯ𝓇𝓉ℯ 💫</t>
  </si>
  <si>
    <t>Ministerio de Justicia: Pena de prisión de 1 a 4 años para Pablo Iglesias por delito de Odio - ¡Firma la petición!  vía @ChangeAUS</t>
  </si>
  <si>
    <t>Jorge Fernández</t>
  </si>
  <si>
    <t>http://chng.it/vm5YPPrK</t>
  </si>
  <si>
    <t>Condenado a 193 años de cárcel y estaba libre a los quince. Ese era nuestro Código Penal y no ha mejorado mucho. Empezando por ser COBARDES como para no llamarle cadena perpetua. ¿Ese tipo, @Pablo_Iglesias_ , también tiene posibilidades de reinserción?</t>
  </si>
  <si>
    <t>Espíritu inquieto. Voy por libre. Adoro leer y saber. Abstenerse ligon@s x Md PUBLICIDAD 🛇❌</t>
  </si>
  <si>
    <t>Vilagarcía de Arousa, España</t>
  </si>
  <si>
    <t>Cogito, ergo sum. Et vos nolite cogitare, non est. Problema creado por el hombre, problema que tiene solución. Otra cosa es que no lo quieran arreglar.</t>
  </si>
  <si>
    <t>Sabias palabras de Julio Anguita."VOTAD AL HONESTO, AL LADRÓN NO LE VOTÉIS AUNQUE TENGA LA HOZ Y EL MARTILLO. ESTA ES LA DIFERENCIA DE UN PUEBLO INTELIGENTE " Zasca para Pablo Iglesias el iracundo 😂</t>
  </si>
  <si>
    <t>Estoy viendo de nuevo la comparecencia de @Pablo_Iglesias_ del pasado domingo ,con dos marionetas detrás asintiendo, y sólo espero una cosa: tarde o temprano acabará en la cárcel. Ese día, veladamente, justificó la violencia contra quien no piense como ellos.</t>
  </si>
  <si>
    <t>Gesdina</t>
  </si>
  <si>
    <t>Pues eso #ConstitucionEspanola @Pablo_Iglesias_ y señora, y un chalet en las afueras</t>
  </si>
  <si>
    <t>https://pbs.twimg.com/media/DtwuFY9WwAAkwEJ.jpg</t>
  </si>
  <si>
    <t>pakohh</t>
  </si>
  <si>
    <t>Sedella, el pueblo de rojos que explica en facebook por qué ahora vota a Vox</t>
  </si>
  <si>
    <t>https://www.cuatro.com/noticias/espana/sedella-carta-pablo-iglesias-rojos-fascistas_0_2669625112.html</t>
  </si>
  <si>
    <t>Rincón de la Victoria</t>
  </si>
  <si>
    <t>Padre de dos tesoros, marido de una gran mujer, profesor de Informática colegio de la Asunción Málaga, comunidad MIES Virgen de la Aurora</t>
  </si>
  <si>
    <t>Pablo Álvarez</t>
  </si>
  <si>
    <t>http://informaticapaco.blogspots.com</t>
  </si>
  <si>
    <t>Vaya pedazo de ostia, babuchas. @Pablo_Iglesias_ @Irene_Montero_ RT @belenruedagdv: Hola @Pablo_Iglesias_ e @Irene_Montero_ Me gustaría recordaros una frase preciosa de vuestra carta: "Enseñaremos a nuestros hijos que sean siempre respetuosos con el que piensa distinto porque la humanidad, la decencia y la amistad no son el patrimonio exclusivo de ninguna causa</t>
  </si>
  <si>
    <t>https://twitter.com/belenruedagdv/status/1070248108439818240</t>
  </si>
  <si>
    <t>Sumarium</t>
  </si>
  <si>
    <t>#DETALLES Así Pablo Iglesias evitó el saludo protocolar a los Reyes en el Congreso</t>
  </si>
  <si>
    <t>Nunca dejes de creer en ti.</t>
  </si>
  <si>
    <t>http://bit.ly/2KXHrcO</t>
  </si>
  <si>
    <t>https://pbs.twimg.com/media/DtwB-hwXcAAuCul.jpg</t>
  </si>
  <si>
    <t>Me parece bien .. prefiero coger . Q denunciar al maldito de @Pablo_Iglesias_ de haber matado y haber impuesto pena de hambre a niños venezolanos sólo para. . De vierte a ti q o pagas . O mueres RT @fierecillla_: Menos drama. Más sexo,. más vino, más chocolate y más café. Esto como regla de vida, hasta el final de los tiempos</t>
  </si>
  <si>
    <t>Venezuela / España (+34 657821628)</t>
  </si>
  <si>
    <t>http://www.sumarium.es</t>
  </si>
  <si>
    <t>https://twitter.com/fierecillla_/status/1070777973815631878
https://twitter.com/guarito_21/status/1070699648975888386</t>
  </si>
  <si>
    <t>Taboo 🇪🇸</t>
  </si>
  <si>
    <t>Todo nuestro apoyo para esos dos afiliados de Vox Lorca que han sido salvajemente agredidos por los cachorros ninis de Pablo Iglesias..</t>
  </si>
  <si>
    <t>🚨¡ALTO, POLICÍA!🚨™</t>
  </si>
  <si>
    <t>Español en España una profesión de alto riesgo hoy en día,amante de mi cultura y de mis tradiciones.🍀💚.</t>
  </si>
  <si>
    <t>Julio Anguita: "Si es honrado y los otros son unos ladrones, ¡votad al de la extrema derecha!"👮🏻 Los Duques de Galapagar @Pablo_Iglesias_ y consorte son de todo menos honrados! Una casa de 2 mill.€ por 600.000€ con una hipoteca q ni dios tiene? 👎🏻</t>
  </si>
  <si>
    <t>https://okdiario.com/espana/2018/12/06/comunista-anguita-si-honrado-otros-son-unos-ladrones-votad-extrema-derecha-3431940#.XAmITroLJiU.twitter</t>
  </si>
  <si>
    <t>NosSobranlosMotivos</t>
  </si>
  <si>
    <t>La carta viral de un andaluz al líder de Podemos: "Cuando usted predica pobreza...</t>
  </si>
  <si>
    <t>#Policía #Madrid, defendiendo a mi familia policial. Si quieres hablar! Aquí estoy!👮🏻 #NoOficial #FFCCSS #PERSONAL #EquiparacionYA Telegram: @Sempermadrid</t>
  </si>
  <si>
    <t>https://vimeo.com/user53402693</t>
  </si>
  <si>
    <t>https://www.20minutos.es/noticia/3508831/0/carta-viral-abierta-andaluz-medico-pablo-iglesias-cuando-usted-predica-pobreza-pero-compra-chale-nace-fascista-elecciones-andalucia-2018-podemos-vox/</t>
  </si>
  <si>
    <t>PAH Arganda</t>
  </si>
  <si>
    <t>Toda la razón, y un poco más que te damos nosotras, @davalosalarcon #40AñosDeConstitución que no se cumple. Tomen nota, @sanchezcastejon @pablocasado_ @Albert_Rivera @Pablo_Iglesias_ @agarzon @gabrielrufian Dejen ya la insensatez, y legislen para que la vivienda sea un derecho. RT @davalosalarcon: #40AñosDeConstitución, reivindico el cumplimiento de los artículos 47, 10.2, 96 CE en relación con el 11.1 PIDESC, #DerechoALaViviendaDigna, #derechoatecho #DerechoAlHogar como #DDFF #DDHH #StopDesahucios</t>
  </si>
  <si>
    <t>Programa de radio y multimedia. Somos adictos a Informar. Conducen: Paola Belmonte y Martín Sotomayor. La radio que puedes ver, es la evolución de la radio.</t>
  </si>
  <si>
    <t>http://www.transmedia.com.bo</t>
  </si>
  <si>
    <t>https://twitter.com/davalosalarcon/status/1070659305857277954</t>
  </si>
  <si>
    <t>https://pbs.twimg.com/media/Dtu-7pOWsAAAKBJ.jpg</t>
  </si>
  <si>
    <t>Arganda</t>
  </si>
  <si>
    <t>Plataforma de Afectados por la Hipoteca de Arganda. info@paharganda.com</t>
  </si>
  <si>
    <t>http://paharganda.com/</t>
  </si>
  <si>
    <t>José de la Cruz</t>
  </si>
  <si>
    <t>Llevan 80 años practicando, Rufian e Iglesias son jóvenes. El dardo de Bertín Osborne a Gabriel Rufián y Pablo Iglesias: "España es el país con más políticos idiotas por metro cuadrado"</t>
  </si>
  <si>
    <t>El humanista</t>
  </si>
  <si>
    <t>pero habeis hecho primarias @Pablo_Iglesias_ ??? RT @Pablo_Iglesias_: Enhorabuena, @AdaColau. Enhorabuena, Barcelona.</t>
  </si>
  <si>
    <t>https://twitter.com/Pablo_Iglesias_/status/1070673569053663232
https://www.lavanguardia.com/local/barcelona/20181205/453369643783/ada-colau-alcaldesa-barcelona-candidatura-elecciones-municipales.html</t>
  </si>
  <si>
    <t>https://pbs.twimg.com/media/DtuoahbWsAEYlqP.jpg</t>
  </si>
  <si>
    <t>Burgos, Rehiyon ng Caraga</t>
  </si>
  <si>
    <t>World citizen</t>
  </si>
  <si>
    <t>Con mis poderes mentales haré una revolución social...</t>
  </si>
  <si>
    <t>Pablo Iglesias ha contagiado al Rey LIBERTAD FUNDAMENTANTE, LEALTAD POR LA LEALTAD, VERDAD = LIBERTAD,</t>
  </si>
  <si>
    <t>Se comenta por ahí que @sanchezcastejon ,el Doctor, ya tiene preparada una nueva entrega 'El francotirador 2' , necesario para que la gente deje de hablar de #EleccionesAndalucia y todo lo que se está viviendo gracias al totalitarismo de su socio @Pablo_Iglesias_</t>
  </si>
  <si>
    <t>Jorge Lopez</t>
  </si>
  <si>
    <t>Santiago Abascal. Cuando era un estudiante en el corredor de la muerte.  vía @YouTube @vox_malaga @Pablo_Iglesias_ memoria histórica Pablo, memoria histórica</t>
  </si>
  <si>
    <t>Paco Ramos Rubio</t>
  </si>
  <si>
    <t>Pablo Iglesias: 'Me da vergüenza como español que exista VOX'</t>
  </si>
  <si>
    <t>https://youtu.be/oIMxo0mWe0Q</t>
  </si>
  <si>
    <t>Empresario, jugador de petanca y otras actividades.</t>
  </si>
  <si>
    <t>Malaga ,Andalucía, España</t>
  </si>
  <si>
    <t>Malagueño, padre de familia ,Liberal , intelectual , amante de mi pais y mi andalucia , dialogante, con argumentos y sobre todo sin insultar.</t>
  </si>
  <si>
    <t>José A. Sánchez</t>
  </si>
  <si>
    <t>Aurora</t>
  </si>
  <si>
    <t>Parece ser que a Facebook le interesa saber quién visita la página de Omnium cultural. Ya empiezan a vigilar nuestras inquietudes políticas. Muy fuerte!!! @Pablo_Iglesias_ @ierrejon @gabrielrufian @agarzon</t>
  </si>
  <si>
    <t>http://www.diarioalcazar.com/2018/12/pablo-iglesias-podria-ser-juzgado-por.html#.XAsFPe7zYzI.twitter</t>
  </si>
  <si>
    <t>https://pbs.twimg.com/media/DtwrdX4WwAAasuu.jpg</t>
  </si>
  <si>
    <t>CON LAS IDEAS MUY CLARAS. NUNCA DEJES DE LUCHAR POR LO QUE CREES JUSTO. #PODEMOS</t>
  </si>
  <si>
    <t>Piensa naranja, piensa diferente...</t>
  </si>
  <si>
    <t>A las lacras de #España empezando por @Pablo_Iglesias_ y @MonederoJC par de ratas asquerosas, ladrones, comunistas de Mierd... RT @DolarToday: SIN PALABRAS... Hugo Chávez regaló más de mil millones de dólares a partidos políticos fuera de Venezuela #TeamHDP</t>
  </si>
  <si>
    <t>https://twitter.com/DolarToday/status/1070708066142711809
https://goo.gl/ok4hhQ</t>
  </si>
  <si>
    <t>Esto es así @Pablo_Iglesias_ te guste o no, esto es así!! Los totalitarios siempre habéis sido los comunistas!!!! RT @ldpsincomplejos: No, chavales. No somos franquistas, ni fascistas, ni ultras, ni extremistas. Somos personas normales que nos hemos hartado de vuestros insultos, vuestro odio, vuestras imposiciones y vuestra pretendida superioridad moral. Los ultras, los violentos, los totalitarios…sois vosotros</t>
  </si>
  <si>
    <t>Carmen San Carlos🇪🇸</t>
  </si>
  <si>
    <t>El símbolo republicano de Podemos @ahorapodemos es una copia de un logo de peluquería que cuesta 9,50 euros !!! @pablo_iglesias_  via @libertaddigital</t>
  </si>
  <si>
    <t>lilith +=+= 🐟🐟🐟</t>
  </si>
  <si>
    <t>Firmas? #VikingosTeam</t>
  </si>
  <si>
    <t>https://www.libertaddigital.com/espana/2018-12-06/el-simbolo-republicano-de-podemos-es-un-logo-de-peluqueria-que-cuesta-950-euros-1276629498/</t>
  </si>
  <si>
    <t>#VivaEspaña #VivaElRey ¡Si a la vida!!! ¡Yes, to life!!! #MakeAmericaGreatAgain #CataloniaSpainEurope #NoToFarc #BCNConFelipeVI</t>
  </si>
  <si>
    <t>Orgullosa de ser Española #VikingosTeam</t>
  </si>
  <si>
    <t>Oye @sanchezcastejon lo que está diciendo tu socio de gobierno @Pablo_Iglesias_ no es crispar el ambiente???, que eres más falso que un euro de madera! Lo de llamar a las calles y meter ahora mierda con la republica que es??Tendréis monarquia para siempre, no veréis la republica!</t>
  </si>
  <si>
    <t>Colombia sin Comunismo</t>
  </si>
  <si>
    <t>La democracia explicada con sencillez a Pablo Iglesias</t>
  </si>
  <si>
    <t>http://dlvr.it/Qt5zdK</t>
  </si>
  <si>
    <t>https://pbs.twimg.com/media/Dt2ft3RU8AAiuSD.jpg</t>
  </si>
  <si>
    <t>Alejandome del Comunismo</t>
  </si>
  <si>
    <t>Noticias de Colombia y España. Centro Democratico y Uribista. Libertario que rechaza tiranias, abusadores de poder y Nuevo Orden Mundial.</t>
  </si>
  <si>
    <t>https://www.youtube.com/watch?v=IZfcG0rPxrs</t>
  </si>
  <si>
    <t>Ladydisplay</t>
  </si>
  <si>
    <t>Querido @Pablo_Iglesias_ el feminismo no te necesita. Deja de manosear el concepto en tu interés personal y partidista. Se agradece el apoyo y acompañamiento, pero sería deseable que te pongas lado no al frente. Hay muchas mujeres preparadisimas.</t>
  </si>
  <si>
    <t>https://youtu.be/hm-DNijFbYk</t>
  </si>
  <si>
    <t>Me aburro de casi todo. La primera de mi, luego de ti y después de tod@s mis compañer@s.</t>
  </si>
  <si>
    <t>Roberto Cepeda</t>
  </si>
  <si>
    <t>Ministerio de Justicia: Pena de prisión de 1 a 4 años para Pablo Iglesias por delito de Odio - Sign the Petition!  via @change_es</t>
  </si>
  <si>
    <t>Rizoma</t>
  </si>
  <si>
    <t>Aparte de la hipocresía y tal, el problema de aquellas declaraciones de @Pablo_Iglesias_ sobre que quien vive en un chalet desconecta de la realidad, es que encima es verdad.</t>
  </si>
  <si>
    <t>http://chng.it/xrH8RSFm</t>
  </si>
  <si>
    <t>Sucia carnaca roijnegra e inadaptada. Izquierda radical, no progreliberal. Política, filosofía, frikeríos, y usar esto como forma de expresión libre y anónima.</t>
  </si>
  <si>
    <t>https://pbs.twimg.com/media/Dt2eb3xXgAAFXu8.jpg</t>
  </si>
  <si>
    <t>No se si es estrategia, pero veo más orientado a @ierrejon que a @Pablo_Iglesias_ (esta un poco por uvas últimamente)</t>
  </si>
  <si>
    <t>Gñe</t>
  </si>
  <si>
    <t>Oyendo en un bar que la credibilidad del del chalet (Pablo Iglesias) es nula y que el discurso de VOX con la inmigración tiene parte de cierto. Ojo al pendular del voto indignado de izquierda a derecha el miedo que da, eh. Al final el indignado solo buscaba su opción</t>
  </si>
  <si>
    <t>https://www.elplural.com/politica/video-errejon-se-presenta-para-coser-espana_207632102</t>
  </si>
  <si>
    <t>LavapiesCity</t>
  </si>
  <si>
    <t>Seamos todos tenaces y tenazas</t>
  </si>
  <si>
    <t>𝙈𝙪𝙡𝙞𝙡𝙡𝙚𝙧𝙤  🇪🇸⚓</t>
  </si>
  <si>
    <t>El nivel intelectual de los frentes "antifascistas" movilizados por el Chepa perroflauta d @Pablo_Iglesias_</t>
  </si>
  <si>
    <t>https://pbs.twimg.com/media/DtwpHpFWsAEP5tI.jpg</t>
  </si>
  <si>
    <t>Orgulloso de ser derechas , cazador, esquiador, TRIANERO y, sobre todo, aficionado al TORO y ESPAÑOL</t>
  </si>
  <si>
    <t>http://mulillero.blogspot.com.es/</t>
  </si>
  <si>
    <t>cuartopoder.es</t>
  </si>
  <si>
    <t>Antonio Value.</t>
  </si>
  <si>
    <t>. @Pablo_Iglesias_ vincula su proyecto republicano al feminismo: “Libertad, igualdad y sororidad”.</t>
  </si>
  <si>
    <t>http://chng.it/dRq7cXf7</t>
  </si>
  <si>
    <t>https://www.cuartopoder.es/espana/partidos-politicos/2018/12/06/iglesias-vincula-su-proyecto-republicano-al-feminismo-libertad-igualdad-y-sororidad/</t>
  </si>
  <si>
    <t>Leo sobre economía. Inversor en valor. Adquirir sabiduría es un deber moral (Munger). La próxima crisis me tiene que pillar blindado. De AEST. Libertario.</t>
  </si>
  <si>
    <t>Periodismo para el 99%. Contacto: redaccion[@]cuartopoder[.]es</t>
  </si>
  <si>
    <t>http://www.cuartopoder.es</t>
  </si>
  <si>
    <t>Pablo Iglesias no sería nada ...si no es por el montaje que genera a su alrededor sus PALMEROS..... Eduardo Inda: "A ver Pablo, querido mierda, aquí el único machista, explotador y odiador eres tú"</t>
  </si>
  <si>
    <t>https://okdiario.com/espana/2018/12/04/eduardo-inda-pablo-querido-mierda-machista-explotador-odiador-3424858#.XAsCIBtDWd8.twitter</t>
  </si>
  <si>
    <t>Manolo Gea</t>
  </si>
  <si>
    <t>No tienes ninguna educación @Pablo_Iglesias_ . Si habéis llegado ahí es por el rey y la constitución. Poco os queda</t>
  </si>
  <si>
    <t>no le des fruta fresca a los cerdos porque en la mierda es donde encuentran sus placeres. Y la ultraizquierda chavista de Podemos ya sabemos de que se alimenta.</t>
  </si>
  <si>
    <t>Baza (Granada)</t>
  </si>
  <si>
    <t>De Baza, 🇪🇸 cascamorras 😄🤚🏿y cofrade. Verdad, lealtad y honestidad. Estos son mis principios, si no le gustan tengo otros.</t>
  </si>
  <si>
    <t>John Doe</t>
  </si>
  <si>
    <t>"Quince encapuchados apalean a un alumno en la UPV en Vitoria por defender la unidad de España | El Diario Vasco" ⁦@Pablo_Iglesias_⁩ se te tenía que caer la perilla de vergüenza</t>
  </si>
  <si>
    <t>https://www.diariovasco.com/politica/quince-encapuchados-apalean-20181204222259-nt.html</t>
  </si>
  <si>
    <t>Estoy de camino.</t>
  </si>
  <si>
    <t>Pitufo Gruñón</t>
  </si>
  <si>
    <t>La irrupción de Vox es consecuencia de la locura del procés, y de la inconsciencia de Pedro Sánchez y Pablo Iglesias. El franquismo estaba más que enterrado y gracias a ellos están volviendo a resurgir...que asco!!</t>
  </si>
  <si>
    <t>Alan 🇪🇸</t>
  </si>
  <si>
    <t>🤣🤣 @Pablo_Iglesias_ y tú con esos pelos?💇🏻‍♂️💇🏻‍♀️ RT @ldpsincomplejos: ¿Alguna vez te has dicho "Cielos, es la hora de salir con mi iPhone a la mani republicana y yo con estos pelos"? Pues Podemos es tu partido: "El símbolo republicano de Podemos es una copia de un logo de peluquería que cuesta 9,50 euros"</t>
  </si>
  <si>
    <t>Pitufolandia</t>
  </si>
  <si>
    <t>Vivo en la República de Pitufolandia, mucho más real que la República de Farolandia (lo dice la ONU) Colono, facha, opresor, analfabeto, borracho, rata...</t>
  </si>
  <si>
    <t>https://twitter.com/ldpsincomplejos/status/1070732705044807681
https://www.libertaddigital.com/espana/2018-12-06/el-simbolo-republicano-de-podemos-es-un-logo-de-peluqueria-que-cuesta-950-euros-1276629498/</t>
  </si>
  <si>
    <t>Estela🇪🇸</t>
  </si>
  <si>
    <t>🔹PN(XXIV-A)🔹 VCF🔹PADEL🔹MTB🔹GYM🔹SWIM🔹CRIMINOLOGÍA🔺⚽️🎾🏋🏽🚵🏽🏊🏽📗📖🇪🇸</t>
  </si>
  <si>
    <t>Odio lo políticamente correcto, odio a los progres y soy ante todo Española.</t>
  </si>
  <si>
    <t>Y los que han estado, @Pablo_Iglesias_ y cia, ni han aplaudido al Jefe del Estado ni al himno de España... En cualquier país democrático e incluso en las dictaduras que a él tanto le gusta, ni lo entenderían ni lo admitirían. RT @IsaacParejo: Dolores Delgado dijo que sus socios de Gobierno independentistas respetan todos la Constitución. La prueba fehaciente es que ninguno ha acudido hoy a los actos del 40 aniversario.</t>
  </si>
  <si>
    <t>https://twitter.com/isaacparejo/status/1070637349103681536</t>
  </si>
  <si>
    <t>Alfredo Díaz</t>
  </si>
  <si>
    <t>¿Pablo Iglesias quería que trabajaran o que les agredieran? Porque no me queda claro en tu tuit. Da igual. ¿Me puedes pasar el link al medio que ha dado la noticia? ¡Esto tiene que parar ya! #Stop #Arrêter #Alto #ManuteBol RT @Miotroyo2parte: Dos afiliados de @vox_es han sido agredidos en Lorca (Murcia), cuando se encontraban trabajando en la sede de su partido. Imagino que estarás contento, @Pablo_Iglesias_, ya estás consiguiendo lo que querías.</t>
  </si>
  <si>
    <t>Asesor de comunicación, guionista de 📺, creativo, jefe de prensa, 🚴‍♀️ y militante del🌹. Mis opiniones son mías, pero te las puedo prestar si me las devuelves.</t>
  </si>
  <si>
    <t>Detención a @Pablo_Iglesias_ para cuando? De verdad alguien está seguro con esta mierda de gobierno no electo?</t>
  </si>
  <si>
    <t>https://es.wikipedia.org/wiki/Sienra</t>
  </si>
  <si>
    <t>VOXAlemania</t>
  </si>
  <si>
    <t>Pablo Iglesias: comunista de chalet que anda repartiendo (su) justicia, va de moderno pero añora a Lenin, va de pacifista y es amigo de Otegui, va de demócrata y ama a Maduro, va de republicano pero no es más que un totalitario, va de intelectual pero solo es un telepredicador RT @Santi_ABASCAL: Dijimos que señalábamos a Pablo Iglesias como instigador de este clima de odio y de las agresiones que se produjeran...y hoy lo reiteramos. ¿Hasta cuándo van a a seguir los comunistas podemitas rompiendo la convivencia?</t>
  </si>
  <si>
    <t>El Tío Potongo</t>
  </si>
  <si>
    <t>Bueno qué a estos chicos? @Pablo_Iglesias_ @gabrielrufian Les damos un premio o los metemos en la carcel y le hacemos manisfestaciones de solidaridad como presos políticos. Agreden a un estudiante de Vitoria por defender la unidad de España  vía @elmundoes</t>
  </si>
  <si>
    <t>Alemania</t>
  </si>
  <si>
    <t>https://www.elmundo.es/pais-vasco/2018/12/05/5c06ee5f21efa089208b4777.html</t>
  </si>
  <si>
    <t>Cuenta oficial. Equipo multidisciplinario que trabaja difundiendo nuestro proyecto político a españoles residentes en Alemania alemania@exteriores.voxespana.es</t>
  </si>
  <si>
    <t>Omnes summus príncipes et duces capitum nostrorum. Estultius est quid estultias facet. Disentire nom despectum.</t>
  </si>
  <si>
    <t>Libertad.democracia</t>
  </si>
  <si>
    <t>A veces Pablo Iglesias oye voces.</t>
  </si>
  <si>
    <t>https://pbs.twimg.com/media/Dt2a6FmWwAAb7FY.jpg</t>
  </si>
  <si>
    <t>Leonidas</t>
  </si>
  <si>
    <t>https://www.redbubble.com/es/people/Tabarnia1492/shop?asc=u</t>
  </si>
  <si>
    <t>Vamos compas ✊🏼 Egalité Liberté Chalet. ⬇️⬇️⬇️ @Pablo_Iglesias_</t>
  </si>
  <si>
    <t>Mi perro Jaiboy</t>
  </si>
  <si>
    <t>#pablo #pablo #pablo #pablo #pablo #pablo iglesias de #RojoEnRectaFinal</t>
  </si>
  <si>
    <t>Mantener lejos del alcance de los niños @insoblanca #InsolenciaBlanca</t>
  </si>
  <si>
    <t>Miguel Mayo</t>
  </si>
  <si>
    <t>No nos perdones la vida por vivir en este país @Pablo_Iglesias_ Si no te gusta, en Venezuela tienes un sitio👋👋👋!</t>
  </si>
  <si>
    <t xml:space="preserve">@miguelmayo52
</t>
  </si>
  <si>
    <t>Economista, seguidor de la política nacional y sorprendido cada día de este circo llamado España.</t>
  </si>
  <si>
    <t>DorisDay #FREEYUYEE</t>
  </si>
  <si>
    <t>¡GRACIAS por levantarte @Pablo_Iglesias_ el respeto no está reñido con las ideas!</t>
  </si>
  <si>
    <t>SITUS INVERSUS</t>
  </si>
  <si>
    <t>Un Holandesj</t>
  </si>
  <si>
    <t>Fascismo es un método que empieza con dividir a una sociedad, llegar al poder, despreciar a tus adversarios, eliminar valores de democracia y moldear la constitución a tú medida. Anda! @pnique y @Pablo_Iglesias_ en estado puro!!</t>
  </si>
  <si>
    <t>Europe</t>
  </si>
  <si>
    <t>Que patetico, pequeño e infeliz personaje es el @Pablo_Iglesias_ , digno amigo de Maduro y los chavistas. Hoy lo demostro con su patanería ennel acto x el aniversario de la constitucion española.</t>
  </si>
  <si>
    <t>Anica</t>
  </si>
  <si>
    <t>Y los "fascistas" son los de VOX:</t>
  </si>
  <si>
    <t>Desde la luz mediterránea recuerdo las nobles tierras leonesas y mi Bergidum natal. España, mi pasión.</t>
  </si>
  <si>
    <t>ANTHONY</t>
  </si>
  <si>
    <t>ESTE LE DA ASCO DECIR ESPAÑA Y NO HA LLEVADO NUNCA UNA BANDERA ROJIGUALDA, LA ODIA, Pablo Iglesias no puedo decir España  vía @YouTube</t>
  </si>
  <si>
    <t>https://youtu.be/MFaF4dgB0jk</t>
  </si>
  <si>
    <t>Esta màs acertada @Pablo_Iglesias_</t>
  </si>
  <si>
    <t>https://pbs.twimg.com/media/Dtwm3L6WoAE5LE-.jpg</t>
  </si>
  <si>
    <t>“Tengo un sueño” (Martin Luther King)</t>
  </si>
  <si>
    <t>L_Najmanovic13</t>
  </si>
  <si>
    <t>Uyyyy que radicales que son estos de podemos! Hoy llevaban un pin!!! Te pareces mucho a la casta contra la que predicas @Pablo_Iglesias_ #monarquiaABOLICION #LlibertatPresesPolitiques</t>
  </si>
  <si>
    <t>Barcelona,Catalunya.</t>
  </si>
  <si>
    <t>Entrenador de bàsquet, Professor d'educació física i Republicà.🎗</t>
  </si>
  <si>
    <t>McPOL OPOSICIONES SL</t>
  </si>
  <si>
    <t>Lo mejor de la foto, el paleto de Cañamero con una camiseta que dice: NO VOTÉ A NINGÚN REY... Primero: Los reyes son reyes precisamente porque no se votan. Segundo: Yo tampoco te voté... y ahí estás en el congreso.</t>
  </si>
  <si>
    <t>https://www.elcorreodemadrid.com/nacional/44860553/El-Congreso-aplaude-al-Rey-y-deja-en-ridiculo-a-Pablo-Iglesias.html</t>
  </si>
  <si>
    <t>Óscar Cuevas</t>
  </si>
  <si>
    <t>Pues anda que no hay iconografía femenina maravillosa para reclamar la República, como para necesitar copiar un logo... qué cutres, @Pablo_Iglesias_</t>
  </si>
  <si>
    <t>Cádiz, Andalucía</t>
  </si>
  <si>
    <t>Coaching para Opositores FCS. Preparación de Temario, Psicotécnicos y Entrevista Personal para PN y GC. Preparación Integral para la Promoción Interna PN</t>
  </si>
  <si>
    <t>http://www.mcpol.es</t>
  </si>
  <si>
    <t>https://pbs.twimg.com/media/Dtwl7_3WwAAiq7I.jpg</t>
  </si>
  <si>
    <t>Alfredo  Rodriguez</t>
  </si>
  <si>
    <t>Informo y analizo lo que pasa en Guadalajara desde 1995. Me gustan mi hija, mi mujer, el vino, el @deporguada, la política, los toros, la gente. Y ahora canto.</t>
  </si>
  <si>
    <t>http://chng.it/FpyLNzkk</t>
  </si>
  <si>
    <t>Barquisimeto</t>
  </si>
  <si>
    <t>Venezolano siempre, comunista nunca, prof. universitario jubilado Quimica mi especialidad. Ms. UGA. USA.</t>
  </si>
  <si>
    <t>Garsy</t>
  </si>
  <si>
    <t>Ni olvidó ni perdón! @Pablo_Iglesias_</t>
  </si>
  <si>
    <t>https://pbs.twimg.com/media/DtwmR2gXQAEy2wh.jpg</t>
  </si>
  <si>
    <t>PODRIAMOS..tendrán que volver a sus orígenes y quizás buscar trabajo en Venezuela...se les está desmontando el chiringuito a sus seguidores y a el su futuro Pablo Iglesias responde a Santiago Abascal: "Espero que no me haga responsable de sus hemorroides"</t>
  </si>
  <si>
    <t>https://okdiario.com/espana/2018/12/04/iglesias-responde-santiago-abascal-espero-que-no-haga-responsable-sus-hemorroides-3426437#.XAr8r-rvYa4.twitter</t>
  </si>
  <si>
    <t>Lo dificil se consigue, lo imposible se intenta!! Del Efese en la distancia!! Mi hermano me enseñó la pasión albinegra!!</t>
  </si>
  <si>
    <t>Rafael Alvaredo Pong</t>
  </si>
  <si>
    <t>¡¡ Monarquía Hereditaria!! El General Gonzalo Queipo de Llano, republicano convencido, se unió a la sublevación a causa de como había sido tratado su consuegro Niceto Alcalá Zamora, primer y más prestigioso Presidente de La II República. @Pablo_Iglesias_ @PPopular @PSOE</t>
  </si>
  <si>
    <t>chuchoquehabla</t>
  </si>
  <si>
    <t>¿Os acordáis de Vistalegre? De cuando quisieron cargarse a Pablo Iglesias para descabezar PODEMOS Pues ahora ,igual ... Nos toman por imbéciles</t>
  </si>
  <si>
    <t>Españistán Norte</t>
  </si>
  <si>
    <t>A mí no me mire,yo no voté al PP</t>
  </si>
  <si>
    <t>Universitario jubilado. Carrera de Ingeniería Técnica Minera. También Supervisor de Instalaciones Radiactivas. Sólo deseo vivir en paz.</t>
  </si>
  <si>
    <t>La absurda razón por la que Ámsterdam elimina las letras más famosas: "El mensaje de I Amsterdam significa que somos individuales. Queremos mostrar algo diferente, como la diversidad, la tolerancia y la solidaridad”. Muy al estilo Pablo Iglesias  @Cerodosbe</t>
  </si>
  <si>
    <t>@JrnCalo</t>
  </si>
  <si>
    <t>https://www.cerodosbe.com/es/destinos/la-absurda-razon-por-la-que-amsterdam-elimina-las-letras-mas-famosas_592949_102.html</t>
  </si>
  <si>
    <t>Se me conoce por ser Bueno, porque perdono, y porque soy muy Amoroso, pero ¿quién, de estos apóstatas, Me invoca hoy llamándome: "Padre mío"? Así, pronto, una tempestad de fuego barrerá esta iniquidad y pecado. Nadie de ustedes conoce ese Día JC @Pablo_Iglesias_</t>
  </si>
  <si>
    <t>ישראל</t>
  </si>
  <si>
    <t>Hombre</t>
  </si>
  <si>
    <t>http://www.tlig.org/spmsg/spindex.php</t>
  </si>
  <si>
    <t>CHARLIESWATX</t>
  </si>
  <si>
    <t>Me ha gustado un vídeo de @YouTube ( - Arquitecta analiza el CHALET de Pablo Iglesias e Irene Montero).</t>
  </si>
  <si>
    <t>http://youtu.be/v2_qo6LMSsA?a</t>
  </si>
  <si>
    <t>Recuerdo el día que @Pablo_Iglesias_ salió mustio con @agarzon tras la debacle de la rama andaluza de @ahorapodemos alentando a sus huestes a tomar las calles. #PabLenin está hecho todo un demócrata. RT @MariaJamardoC: Llámenme rara... pero que el líder de un partido que incita a no aceptar los resultados electorales, cuando le vienen mal, diga que quiere encargarse de modificar la Constitución, es una broma macabra.</t>
  </si>
  <si>
    <t>Joven sabio, sigue mis peripecias ;)</t>
  </si>
  <si>
    <t>https://www.youtube.com/c/CharlieSwatX</t>
  </si>
  <si>
    <t>https://twitter.com/mariajamardoc/status/1070641533857218561
https://twitter.com/ahorapodemos/status/1070633150353760256</t>
  </si>
  <si>
    <t>Rolo de Tarento🇨🇱🇪🇸🛠️⚔️🛡️</t>
  </si>
  <si>
    <t>WALTER GARCÍA muy DURO contra la CALAÑA COMUNISTA y PABLO IGLESIAS  vía @YouTube</t>
  </si>
  <si>
    <t>https://youtu.be/ZQNyJdfO2HQ</t>
  </si>
  <si>
    <t>JG99</t>
  </si>
  <si>
    <t>Oye @Pablo_Iglesias_ , te ha quedado muy chulo el logo republicano . Sabes dónde puedo descargarmelo?</t>
  </si>
  <si>
    <t>Anticomunista, Antiprogre.</t>
  </si>
  <si>
    <t>Emprendedor y soñador insaciable. Sube, equivócate, cae y vuelve a levantarte.</t>
  </si>
  <si>
    <t>Montserrat Tudela🎗</t>
  </si>
  <si>
    <t>Hola, Pablo! Nos crees idiotas, compañero? 40 Aniversario Constitución: Pablo Iglesias: “Apostamos por que la libre decisión de los pueblos construya un proyecto unido” | España | EL PAÍS</t>
  </si>
  <si>
    <t>Mayka</t>
  </si>
  <si>
    <t>Ésto no se puede permitir, yo también pensé en lo mismo o hacer huelga de hambre en la puerta del Ayuntamiento con un sueldo es imposible asumir un alquiler ni los requisitos que se piden para alquilar ni comprar @Pablo_Iglesias_ @ahorapodemos @ManuelaCarmena @MonederoJC RT @Mayka41328150: Y mientras TODOS preocupados por la casa de Pablo Iglesias o si Manuela pone o no el Belén mira que somos 🐏🐏🐏🐏🐏</t>
  </si>
  <si>
    <t>https://twitter.com/Mayka41328150/status/1070769290092122112
https://twitter.com/CatalunyaFreeTV/status/1070617685271175169</t>
  </si>
  <si>
    <t>República Catalana</t>
  </si>
  <si>
    <t>cuesta más subir que bajar, pero las vistas desde arriba son mejores</t>
  </si>
  <si>
    <t>Augusto Cortés</t>
  </si>
  <si>
    <t>La izquierda sigue a lo suyo. Pablo Iglesias estará contento. Los medios pop, calladitos. “El problema es VOX” VOX es el síntoma, estúpidos. RT @libertaddigital: VOX denuncia una agresión a dos de sus afiliados en Lorca (Murcia)</t>
  </si>
  <si>
    <t>Adrián Miñano Almagro.</t>
  </si>
  <si>
    <t>La clase obrera. No le fue tan mal a @Pablo_Iglesias_ desde que esta en política, porque sus ingresos son de la política 🤔 y quejarse de esta España y querer cambiarla. Viendo su mejoría están ilusionados con su futura vivienda. RT @ESPDespierta: @ierrejon Eso digo yo, tu jefe @Pablo_Iglesias_ quiere cambiar la Constitución y la verdad es que no entiendo por qué, pues claramente a el le ha ido fenomenal.</t>
  </si>
  <si>
    <t>Honrarás a tu padre y a tu madre.</t>
  </si>
  <si>
    <t>https://twitter.com/espdespierta/status/1070766505560817664</t>
  </si>
  <si>
    <t>https://pbs.twimg.com/media/DtwgcwmXQAUMPAi.jpg</t>
  </si>
  <si>
    <t>Fernando Medina</t>
  </si>
  <si>
    <t>Hasta el alcalde de su pueblo, de Izquierda Unida (el antiguo Partido comunista de España) le dio la razón a este buen médico. Y es que cada vez que Pablo Iglesias dice una palabra nace un Fascista RT @joelhirst: Interesante, y #ouch @fermedon -- Carta abierta a Pablo Iglesias:  via @14ymedio</t>
  </si>
  <si>
    <t>https://twitter.com/joelhirst/status/1070921074089619456
https://www.14ymedio.com/blogs/cajon_de_sastre/Carta-abierta-Pablo-Iglesias_7_2560013974.html#.XAoKwMusoyw.twitter</t>
  </si>
  <si>
    <t>DS Real Murcia. G. Fuertes.</t>
  </si>
  <si>
    <t>Abogado y Mediador. Especialista en Dirección de Organizaciones de Acción Humanitaria y Desarrollo. Políglota y Poliédrico. También ubicuo, mal que me pese</t>
  </si>
  <si>
    <t>FGG🇪🇸</t>
  </si>
  <si>
    <t>No se puede permitir que este político de EXTREMA IZQUIERDA este incitando a la violencia. Ministerio de Justicia: Pena de prisión de 1 a 4 años para Pablo Iglesias por delito de Odio - ¡Firma la petición!  vía @change_es</t>
  </si>
  <si>
    <t>Gen. Joseph Johnston</t>
  </si>
  <si>
    <t>En el apartado de derechos fundamentales la Constitución reconoce el derecho a una vivienda digna. Algo así como el casplon de @Pablo_Iglesias_ que lucha fuertemente contra los desahucios</t>
  </si>
  <si>
    <t>http://chng.it/r5tcX9Nk</t>
  </si>
  <si>
    <t>Madrileño hasta la medula, votante y afiliado del PP , luchando por que la izda no arruine este gran país, juntos somos más fuertes. ESPAÑA LO PRIMERO</t>
  </si>
  <si>
    <t>Leioako Uri Buru Batzarra</t>
  </si>
  <si>
    <t>El angel se levanto y se unió a la confederación en la lucha por la secesión</t>
  </si>
  <si>
    <t>Felisuco</t>
  </si>
  <si>
    <t>Raquel</t>
  </si>
  <si>
    <t>🔴NUEVA PELUQUERÍA REPÚBLICA. En la nueva peluquería república somos especialistas En rastas Rapados laterales Look aceitoso Y lo más importante: ¡¡Más barato que en el chino!! Pidan su cita en los siguientes contactos. @ahorapodemos @pnique Y el dueño @Pablo_Iglesias_</t>
  </si>
  <si>
    <t>https://pbs.twimg.com/media/DtwjJYhW0AAljhB.jpg</t>
  </si>
  <si>
    <t>Isla Perejil</t>
  </si>
  <si>
    <t>Hakuna Matata</t>
  </si>
  <si>
    <t>No de izquierdas ni de derechas Anti parásitos 🤔👊</t>
  </si>
  <si>
    <t>El 24h TVE de @Pablo_Iglesias_ reescribiendo la historia de la transición española... Y eso sin ganar elecciones algunas.</t>
  </si>
  <si>
    <t>Santiago</t>
  </si>
  <si>
    <t>Retrato de Pablo Iglesias sin desperdicio RT @okdiario: El temerario de Villa Tinaja</t>
  </si>
  <si>
    <t>https://twitter.com/okdiario/status/1071166488701267968
https://okdiario.com/opinion/2018/12/07/temerario-villa-tinaja-3438743?utm_term=Autofeed&amp;utm_campaign=ok&amp;utm_medium=Social&amp;utm_source=Twitter#Echobox=1544220425</t>
  </si>
  <si>
    <t>Español y Orgulloso de serlo 🇪🇸 Viva nuestra Policía y la Guardia Civil #equiparaciónYa</t>
  </si>
  <si>
    <t>LF10</t>
  </si>
  <si>
    <t>El logo ese años 40 cutre rancio @Pablo_Iglesias_ nuevo a que peluqueria se lo has copiado ¿?¿?</t>
  </si>
  <si>
    <t>Toñu IGLESIAS</t>
  </si>
  <si>
    <t>Abascal responsabiliza a Pablo Iglesias de la violencia que se produzca contra su partido, por @MiriamMuroM  vía @libertaddigital</t>
  </si>
  <si>
    <t>Barcelona.España.EU</t>
  </si>
  <si>
    <t>europeo, español y catalan. cansando de Fachas racistas de lacito que van de democratas.</t>
  </si>
  <si>
    <t>El Agente Robert H Von Jackson 2.0</t>
  </si>
  <si>
    <t>Pensé que el muñeco de ventrílocuo sólo pensaba en una segunda guerra civil en España, pero veo que cualquier conflicto le va a servir... El chauvinismo debería ser el último recurso, @Pablo_Iglesias_ Trafalgar no te suena, no? RT @UKDefJournal: A Spanish warship has illegally sailed through the waters of the British territory of Gibraltar, blasting the Spanish national anthem on loudspeakers.</t>
  </si>
  <si>
    <t>José Carlos Jiménez</t>
  </si>
  <si>
    <t>Pablo Iglesias honrando la revolución rusa, donde se robó toda propiedad a la población, se practicó un genocidio contra los campesinos y se legalizaron los trabajos forzados y los campos de concentración. Un verdadero demócrata. RT @pmanglano: Y aquí tenemos a Pablo Iglesias defendiendo los valores constitucionales frente a los ultras.</t>
  </si>
  <si>
    <t>https://twitter.com/UKDefJournal/status/1069961316738174979
https://ukdefencejournal.org.uk/spanish-ship-sails-through-gibraltar-waters-playing-spanish-anthem/</t>
  </si>
  <si>
    <t>https://twitter.com/pmanglano/status/1071155705405730816</t>
  </si>
  <si>
    <t xml:space="preserve">Langley, Virginia. </t>
  </si>
  <si>
    <t>EGO RESURGENTIUM. SUPREMACISTA MORAL. Ex-CIA, Ex-Stassi, Pre-Mossad. Macho alfa de la Jauría.</t>
  </si>
  <si>
    <t>https://pbs.twimg.com/media/Dt2CbvoW4AE88N_.jpg</t>
  </si>
  <si>
    <t>Nacido en 1978 en Barcelona. Licenciado en Economía por la Universitat de Barcelona (UB). Interesado en información económica, financiera, política y social.</t>
  </si>
  <si>
    <t>Josep #SomRepública 🎗🎗</t>
  </si>
  <si>
    <t>#FelipeVI nunca entenderé la poca dignidad de los Republicanos españoles, q acuden a los actos de la familia de Urdangarin y su superprotesta es no aplaudir🤷🏼‍♂️🤷🏼‍♂️🤷🏼‍♂️🤷🏼‍♂️ No solo no han abandonado el Parlamento si encima se han puesto en pie 🤮🤮🤮 @Pablo_Iglesias_ així no!!</t>
  </si>
  <si>
    <t>Cafinitrina</t>
  </si>
  <si>
    <t>Pero qué ganitas tiene Alexandria de mandar. En eso se parece a Pablo Iglesias. RT @Ocasio2018: I have noticed that Junior here has a habit of posting nonsense about me whenever the Mueller investigation heats up. Please, keep it coming Jr - it’s definitely a “very, very large brain” idea to troll a member of a body that will have subpoena power in a month. Have fun!</t>
  </si>
  <si>
    <t>Barcelona, República Catalana</t>
  </si>
  <si>
    <t>Ja és hora de segar cadenes i aconseguir la llibertat pacíficament,cívicament i democràticament.Llicenciat Ciències Polítiques per l’UAB</t>
  </si>
  <si>
    <t>https://twitter.com/Ocasio2018/status/1071115755041800192
https://twitter.com/washingtonpost/status/1071035124412760064</t>
  </si>
  <si>
    <t>¡Moderación o muerte!</t>
  </si>
  <si>
    <t>Cada día hay más motivos para NO VOTAR al partido del COMUNISTA @Pablo_Iglesias_ RT @okdiario: ▶️ @okdiario entrevista al dueño del local destrozado en Cádiz: “Nada hubiera ocurrido sin el llamamiento de Podemos” Por @raqueltejero_ 👇</t>
  </si>
  <si>
    <t>Manu Muñoz</t>
  </si>
  <si>
    <t>https://twitter.com/okdiario/status/1070621350002417664
https://okdiario.com/espana/2018/12/06/dueno-del-local-destrozado-cadiz-nada-hubiera-ocurrido-sin-llamamiento-podemos-3432922?utm_campaign=ok&amp;utm_medium=Social&amp;utm_source=Twitter#Echobox=1544083262</t>
  </si>
  <si>
    <t>Imaginad a una mujer diciendo que quiere un país republicano, machista y demócrata. Triste, verdad? Pues cambiad lo de mujer por Pablo Iglesias y lo de machista por feminista. Cuanto menos para analizarlo, verdad? RT @Mikel1921: Pero no había que acabar con el "régimen del '78 " y con los viejos que votan? Vaya carajal que tenéis, trileros...y trileras.</t>
  </si>
  <si>
    <t>https://twitter.com/Mikel1921/status/1070980668107251712
https://twitter.com/24h_tve/status/1070623212256485376</t>
  </si>
  <si>
    <t>J.U.M.</t>
  </si>
  <si>
    <t>Mientras que @Pablo_Iglesias_ se dedica a criticar y odiar a la Monarquia los Reyes eran recibidos en el @Congreso_Es entre aplausos y sonrisas. ¿Por que @Pablo_Iglesias_ nada a contracorriente?</t>
  </si>
  <si>
    <t>🇪🇸⚜️Memeses⚔️🇪🇸</t>
  </si>
  <si>
    <t>Gracias Pablo Iglesias, Errejón, Mon€ydero, Echetrinque si esto que habéis ayudado y apoyado lo queréis instalar en mi país, ESPAÑA 🇪🇸 y una p... como el cuello de un cantaor, yo a mis hijos y nietos no les dejo un país así, gobernado por unos seres deleznables. Es la guerra... RT @clubdeviernes: Otro éxito del socialismo podemita: En Venezuela no es que no haya comida, es que ni tan siquiera hay agua corriente para asearse</t>
  </si>
  <si>
    <t>Responsibility is a word made up of two words. The Word response and the word ability. And I know my ability to respond.</t>
  </si>
  <si>
    <t>https://twitter.com/clubdeviernes/status/1071040003839549440</t>
  </si>
  <si>
    <t>pic.twitter.com/hGpLz9bBM6</t>
  </si>
  <si>
    <t>Jorge14</t>
  </si>
  <si>
    <t>Jajajaja. Yo no voy a celebrar el cumpleaños de mi madre porque cuando nció yo no estaba, ni tuve nada que ver. @Pablo_Iglesias_ que tonto eres. RT @Bcnisnotcat_: ✊ Pablo Iglesias no quiere celebrar los 40 años de la Constitución porque "él no estuvo ni la votó". ¿Alguien sabe si estuvo en la Revolución Rusa?🤣 No te enfades @Pablo_Iglesias_ 😉 🙏</t>
  </si>
  <si>
    <t>https://twitter.com/bcnisnotcat_/status/1070375084420988929</t>
  </si>
  <si>
    <t>🇪🇸Español. ⚜️⚔️Legionario. Comunistas ☭ socialistas🌹, etarras💀, indepes🇵🇷 y demás trolls de izquierdas y rompepatrias, bloqueo automático🚫. 😓😷☭🌹</t>
  </si>
  <si>
    <t>Xàtiva (Valencia) (Spain)</t>
  </si>
  <si>
    <t>Apasionado por el futbol y enamorado del buen humor.</t>
  </si>
  <si>
    <t>Israel</t>
  </si>
  <si>
    <t>Francisco A. Núñez</t>
  </si>
  <si>
    <t>Me da vergüenza como persona que seas español, @Pablo_Iglesias_ . RT @MediterraneoDGT: 😏 Mira @Santi_ABASCAL 👇 Pablo Iglesias: 'Me da vergüenza como español que exista VOX'</t>
  </si>
  <si>
    <t>Ingeniero en Informática, casado, padre (x2) y profesor de matemáticas en @El_Romeral. Miembro de @JuanDeMariana, @misesorgespanol y detrás de @eclosionliberal</t>
  </si>
  <si>
    <t>https://goo.gl/EhVPjq</t>
  </si>
  <si>
    <t>personas≠DERECHOS=💚</t>
  </si>
  <si>
    <t>VIDEO - ENTREVISTA (59 minutos) Otra Vuelta de Tuerka - Pablo Iglesias con Tristán Ulloa  vía @YouTube</t>
  </si>
  <si>
    <t>España entera</t>
  </si>
  <si>
    <t>Escaparatista/Visual para Van de Velde, Andrés Sardá, Red Point. Nací junto al Bernabéu. En política, a la contra. Mi vida, en la carretera.</t>
  </si>
  <si>
    <t>http://bitpiva.wixsite.com/bitpiva</t>
  </si>
  <si>
    <t>personas≠DERECHOS= 💜❤️💚somos+=que≠ ❤💛💜 🐦 ❤️💛💚💙💜 derechos iguales = personas diferentes ≠ 🙂💙💜❤️ 🐦 💘🍎🍐 🐦 💚💚💚 🐦</t>
  </si>
  <si>
    <t>Éstos son los democratas y constitucionalistas del presidente interino @sanchezcastejon y sus socios @Pablo_Iglesias_ @agarzon RT @Bilbaina27: Aquí les dejo una carta que los "hombres de paz" de ETA enviaban a los empresarios vascos y les aseguro que no es de las peores. Normalmente les enviaban datos de sus familias y otros métodos de extorsión al más puro estilo mafioso. Podemos e Independentistas son sus amigos.</t>
  </si>
  <si>
    <t>https://twitter.com/Bilbaina27/status/1070748858878181376</t>
  </si>
  <si>
    <t>https://pbs.twimg.com/media/DtwQaRsWsAgEI0O.jpg</t>
  </si>
  <si>
    <t>La incitación al odio contra VOX de Pablo Iglesias deja sus primeras víctimas: Dos afiliados son agredidos en Murcia</t>
  </si>
  <si>
    <t>Elvira Sanz</t>
  </si>
  <si>
    <t>No sé qué nombre tiene legalmente la falta de responsabilidad del @malaga pero este modelo de gestión a sabiendas de las consecuencias que tiene es perversa y rayan lo criminal. El @PPaytoMalaga es un peligro. @mlgAHORA @Pepomlg @Pablo_Iglesias_ @MalagaNoSeVende @AscoMalaga RT @AscoMalaga: #UltimaHora Los bomberos de #Málaga no pueden rescatar a un hombre por falta de medios acuáticos. Un vecino de Campanillas lleva horas atrapado en el pantano de Pilones Los recortes de Paco De la Torre con los bomberos acabaron con la Unidad de Rescate Acuático. @encierrobombmlg</t>
  </si>
  <si>
    <t>https://twitter.com/AscoMalaga/status/1070763607128981509</t>
  </si>
  <si>
    <t>https://pbs.twimg.com/media/Dtwd0h9W0AE8OIv.jpg</t>
  </si>
  <si>
    <t>Podemos, con @Pablo_Iglesias_ , hasta el final. Portavoz por @mlgAHORA en el Distrito 6 Cruz Humilladero. Por una ciudad igualitaria, diversa y sostenible.</t>
  </si>
  <si>
    <t>https://malagaahora.org/</t>
  </si>
  <si>
    <t>Maria Sol Martin</t>
  </si>
  <si>
    <t>Firma la petición</t>
  </si>
  <si>
    <t>MantecaDeCerdo🐷</t>
  </si>
  <si>
    <t>#fascismonuncamás contra el señor @Pablo_Iglesias_ que es todo un anticonstitucionalista, está en contra de la democracia y además es guía del separatismo y terrorismo. De verdad quiere ser presidente? O mejor dicho líder del movimiento contra la separación de la corona y España.</t>
  </si>
  <si>
    <t>http://chng.it/g7TtMXTj</t>
  </si>
  <si>
    <t>Casada, contable, amante de los animales..</t>
  </si>
  <si>
    <t>Huelva - Recre❤Spain - Mobile eSports Player para @QLASHGSD - Socio: @SebasPT222004</t>
  </si>
  <si>
    <t>Amado del Valle Avendaño</t>
  </si>
  <si>
    <t>A este fascista @Pablo @Pablo_Iglesias_ ya no le deberían haber dejado entrar y si entró, después de esto lo deberían haber sacado a gorrazos por impresentable RT @eduardoinda: .@Pablo_Iglesias_ se salta el saludo protocolario a los reyes en el Congreso #40AñosDeConstitución</t>
  </si>
  <si>
    <t>Palafrugell, España</t>
  </si>
  <si>
    <t>Amante de la justicia, la ley y el orden. Si defender España es ser facha. yo lo soy 🇪🇸</t>
  </si>
  <si>
    <t>Leandro</t>
  </si>
  <si>
    <t>#LaSilenciosaCat #EleccionesGeneralesYa #YoNoSoyFachaSoyEspañol #SIaLaCartaMagna #SinComplejos Que razón tiene. Salvando algunos casos ... no muchos ... ...</t>
  </si>
  <si>
    <t>FRASESYFOSAS</t>
  </si>
  <si>
    <t>Como padre, me gusta que @Pablo_Iglesias_ se defina como padre, antes que como Secretario General de Podemos.</t>
  </si>
  <si>
    <t>https://pbs.twimg.com/media/Dtwfr_vXcAAYIN8.jpg</t>
  </si>
  <si>
    <t>Miguel A.</t>
  </si>
  <si>
    <t>Quien te ha escuchado y quién te escucha. Dando agradecimientos a la Corona por su papel en el "autogolpe" y utilizando el oportuno significante femenino para contraponerlo a la...</t>
  </si>
  <si>
    <t>https://m.eldiario.es/politica/Pablo-Iglesias-contrapone-republicanismo-feminista_0_843416120.html</t>
  </si>
  <si>
    <t>pechospoliticos</t>
  </si>
  <si>
    <t>Un regalo para ⁦@Pablo_Iglesias_⁩ estas Navidades///</t>
  </si>
  <si>
    <t>https://pbs.twimg.com/media/DtwfrZ9W0AAO-5U.jpg</t>
  </si>
  <si>
    <t>http://miguelcirculandoporlaizquierda2.blogspot.com.es/</t>
  </si>
  <si>
    <t>En la trena</t>
  </si>
  <si>
    <t>Libertad para los pechos políticos catalanes</t>
  </si>
  <si>
    <t>KEMASDA</t>
  </si>
  <si>
    <t>El dardo de Bertín Osborne a Gabriel Rufián y Pablo Iglesias: "España es el país con más políticos idiotas por metro cuadrado" 😂😂😂😂😂👏🏽👏🏽👏🏽🇪🇸</t>
  </si>
  <si>
    <t>Adolfo</t>
  </si>
  <si>
    <t>¿ A este es al que pretende amenazar @Pablo_Iglesias_ ?...espero que lleve dotación de calzoncillos extra ( marca carrefour) RT @sterlingmrch: La vida de Santiago Abascal en su País Vasco natal: amenazas de muerte de ETA, su negocio familiar quemado en varias ocasiones y cartas de extorsión a su abuelo. ¿Qué nos apostamos a que esto no sale en los medios?</t>
  </si>
  <si>
    <t>https://twitter.com/sterlingmrch/status/1070681768687210496</t>
  </si>
  <si>
    <t>pic.twitter.com/MdfwvNSZyy</t>
  </si>
  <si>
    <t>vivir la vida y que la vida me deje vivir</t>
  </si>
  <si>
    <t>Liberal (American style), promotor de la Ciencia, a favor de la igualdad de oportunidades, europeísta, por la unidad de España</t>
  </si>
  <si>
    <t>LAZA🕷RUS</t>
  </si>
  <si>
    <t>Pablo Iglesias no se si estará contento o dejara de estarlo, lo que si te digo es que todo lo que le pase a Vox a partir de ahora se lo están buscando ellos solos. Son un partido -PARÁSITO- el cual solo tiene un programa electoral, la bandera de España que es la de todos. RT @Miotroyo2parte: Dos afiliados de @vox_es han sido agredidos en Lorca (Murcia), cuando se encontraban trabajando en la sede de su partido. Imagino que estarás contento, @Pablo_Iglesias_, ya estás consiguiendo lo que querías.</t>
  </si>
  <si>
    <t>Numbers Giveth, ergo CLV 🇮🇱</t>
  </si>
  <si>
    <t>Momento histórico en el que un @Pablo_Iglesias_ cargado de orgullo, dignidad y razón decide no aplaudir ni secundar un "viva el rey" en el Congreso de los Diputados</t>
  </si>
  <si>
    <t>127.0.0.1 | El Sur |</t>
  </si>
  <si>
    <t>https://youtu.be/h33mwcksVCQ</t>
  </si>
  <si>
    <t>..\\Si estas lo suficientemente quieto lograras oírlo todo | Una idea es como un virus, resistente y altamente contagiosa\\..</t>
  </si>
  <si>
    <t>http://hackdosx.blogspot.com</t>
  </si>
  <si>
    <t>Moisés no entro en la Tierra Prometida porque golpeó una roca demasiado flojo. Sad.</t>
  </si>
  <si>
    <t>Iglesias reivindicó la España “feminista, republicana, trabajadora y democrática”, pero Unidos Podemos ha censurado esa parte del discurso.</t>
  </si>
  <si>
    <t>cesar cajete</t>
  </si>
  <si>
    <t>Es #antifascismo: 👉🏽¿Copiar un logo? ¿Antifascismo es pisar los derechos de los creadores? 👉🏽¿Copiar un logo sexista de una mujer que busca la belleza patriarcal? Estáis tontos, de puente o qué, @ahorapodemos @Pablo_Iglesias_? #diseño #copia #fraude #40AñosDeConstitución⁠ ⁠ RT @cultrun: Podemos se ha lucido con la campaña por la república feminista con su logo de salón de peluquería. La caspa de estos viejóvenes, la negligencia que hay hasta en sus ideas, no es normal.</t>
  </si>
  <si>
    <t>https://twitter.com/cultrun/status/1070714655394406400</t>
  </si>
  <si>
    <t>https://pbs.twimg.com/media/DtvwusqX4AUDUW4.jpg</t>
  </si>
  <si>
    <t>Gijon Asturias España</t>
  </si>
  <si>
    <t>Consultor #Comunicación Estratégica @comunicaprof Consultor #Evernote. #Crisis #SocialMedia. Director: @MasterSMMAst y @mastersm_alava. Secr: @dircomasturias</t>
  </si>
  <si>
    <t>http://es.linkedin.com/in/cesarcajete</t>
  </si>
  <si>
    <t>Joaquín</t>
  </si>
  <si>
    <t>Pablo Iglesias de podemos, deberia de ser detenido por incitar al odio y a la violencia contra los seguidores de un partido legal. Esto es el comunismo enfrentamiento entre ciudadanos.</t>
  </si>
  <si>
    <t>Lucía #Tabarnia</t>
  </si>
  <si>
    <t>Coleta morada @Pablo_Iglesias_ vuelve a hacer el ridículo. 😁😁</t>
  </si>
  <si>
    <t>https://pbs.twimg.com/media/DtwdxDIWoAATmXM.jpg</t>
  </si>
  <si>
    <t>empresario autónomo .español y harto de cantamañanas</t>
  </si>
  <si>
    <t>Por Tabarnia y la expulsión de Tractoruña de España y la UE, son un lastre económico y democrático.</t>
  </si>
  <si>
    <t>Juan Carlos ن✝</t>
  </si>
  <si>
    <t>Esto es lo que han conseguido Pedro Sánchez, Pablo Iglesias y los golpistas catalanes 👇 RT @hospederiavc: Éstas eran las colas esta mañana para acceder a la basílica</t>
  </si>
  <si>
    <t>Sergio Rivas</t>
  </si>
  <si>
    <t>El señor @Pablo_Iglesias_ sigue hablando en nombre de todos los españoles, dice que la ciudadanía quiere República, por lo menos a mi no me ha preguntado</t>
  </si>
  <si>
    <t>España 🇪🇸 ن</t>
  </si>
  <si>
    <t>«¡Tarde te amé, hermosura tan antigua y tan nueva, tarde te amé! y tú estabas dentro de mí y yo afuera,...» Yendo a #CATECUMENADO para mí #CONFIRMACIÓN</t>
  </si>
  <si>
    <t>https://youtu.be/6A3AS5oavA0</t>
  </si>
  <si>
    <t>Soy el escudo que defiende los reinos de los hombres.</t>
  </si>
  <si>
    <t>PACOROMERO🇪🇸</t>
  </si>
  <si>
    <t>Facheitor</t>
  </si>
  <si>
    <t>La mugre #Podemita de @Pablo_Iglesias_ va de ridículo en ridículo 🤣🤣🤣 #ConstitucionEspanola #Constitucion40 #EspanaViva #PodemosEsChavismo #Podemos #socialismo #VOX #VOXAndalucia #SocialismoEsMISERIA #ConstitucionARV</t>
  </si>
  <si>
    <t>https://bit.ly/2AWCAnD</t>
  </si>
  <si>
    <t>#NOPUEDEN #VERDE! #CataluñaEsEspaña a veces marco ❤️ simplemente para no perder el twitt.</t>
  </si>
  <si>
    <t>Benalmádena, Spain</t>
  </si>
  <si>
    <t>Decimonónico.</t>
  </si>
  <si>
    <t>Afectados Cooperativas Prensa</t>
  </si>
  <si>
    <t>Miles de @Afectados_COOP vivimos un auténtico DRAMA: con sueldos inferiores al #SMI y tras declarar las facturas en la #cooperativa @FactooES sufrimos una persecución de la @info_TGSS 😭¡Somos VÍCTIMAS! @amonterosoler @agarzon @Pablo_Iglesias_ @uatae_es @FcoFerrera @MJLandaburu RT @AfectadosCoop: Cuando los partidos políticos llegan al @GobiernoEspanol es para resolver (se supone) los problemas de los ciudadanos ¿Cuándo @sanchezcastejon @mvalerio_gu van a resolver el DRAMA de @Afectados_COOP? @PPopular y @fatimaempleo ya hicieron 'suficiente' descalificando a @FactooES</t>
  </si>
  <si>
    <t>https://twitter.com/AfectadosCoop/status/1070762433189502977</t>
  </si>
  <si>
    <t>Alerta Nacional</t>
  </si>
  <si>
    <t>Relación con los medios de la Asociación de Afectados por las Cooperativas (ACF) 💻🎥📞🎙️📡</t>
  </si>
  <si>
    <t>https://afectadosporlascooperativas.wordpress.com/</t>
  </si>
  <si>
    <t>https://www.alertanacional.es/la-democracia-explicada-con-sencillez-a-pablo-iglesias/</t>
  </si>
  <si>
    <t>https://pbs.twimg.com/media/Dt2QEjOUwAAaUEA.jpg</t>
  </si>
  <si>
    <t>https://www.alertanacional.es</t>
  </si>
  <si>
    <t>Coñio, @vox_es ha conseguido q hasta @Pablo_Iglesias_ se sienta Español. "Pablo Iglesias: 'Me da vergüenza como español que exista VOX"</t>
  </si>
  <si>
    <t>Luis Canelo</t>
  </si>
  <si>
    <t>Pablo Iglesias no quiere celebrar los 40 años de la Constitución porque ni estuvo ni la votó. ¿Alguien sabe si estuvo en la revolución Rusa? 🙄</t>
  </si>
  <si>
    <t>https://pbs.twimg.com/media/Dt2P12vWsAE624L.jpg</t>
  </si>
  <si>
    <t>Aragón, España</t>
  </si>
  <si>
    <t>Del Reino de Aragón. RT is not support.</t>
  </si>
  <si>
    <t>Mejores Zasca!</t>
  </si>
  <si>
    <t>Zasca!!!!!!!!!!! de @JuanraLucas a @Pablo_Iglesias_ . Vía @GatoCurioso77</t>
  </si>
  <si>
    <t>https://pbs.twimg.com/media/Dtwcp5FXgAAWKfi.jpg</t>
  </si>
  <si>
    <t>Zas, España</t>
  </si>
  <si>
    <t>Los mejores Zas! en toda la boca! de internet. Hay para todos, nos gustan los Zasca! a políticos, periodistas, tuitstars, deportistas, youtubers....</t>
  </si>
  <si>
    <t>Valentina no al TTIP</t>
  </si>
  <si>
    <t>Pablo Iglesias cierra la Jornada 'España: Feminismo, República y Democra...  vía @YouTube</t>
  </si>
  <si>
    <t>https://youtu.be/SYDcIq0xzZQ</t>
  </si>
  <si>
    <t>Ellos son los tontos útil del dictador con coleta @Pablo_Iglesias_ RT @HispanoVisigoda: Este tuit va dirigido a los jóvenes y jóvenas de España: Desde aquí, ver fotos, se dirigen los discursos a las hordas comunistas, nazionalistas y anarquistas de nuestro país. Nota. Hay que ser tonto y tonta para seguir la corriente de este millonario comunista.</t>
  </si>
  <si>
    <t>Asonipse Solrac</t>
  </si>
  <si>
    <t>¿Por qué todos nos acordamos de las víctimas de ETA pero algunos se han olvidado de las víctimas de la transición? @sanchezcastejon @Albert_Rivera y @pablocasado_ @Pablo_Iglesias_ "In memoriam• de David García Caparros (q.e.p d.)</t>
  </si>
  <si>
    <t>https://m.eldiario.es/politica/falso-mito-Transicion-incruenta_0_843066416.html</t>
  </si>
  <si>
    <t>Tercera Clase</t>
  </si>
  <si>
    <t>Antifascismo también es destruir el capitalismo, no vivir de él, reformistas traidores de mierda. @Pablo_Iglesias_ @gabrielrufian</t>
  </si>
  <si>
    <t>Sevilla, Reino Andalusí</t>
  </si>
  <si>
    <t>Por nuestro escudo, por nuestra clase, por nuestra patria.</t>
  </si>
  <si>
    <t>El combate ha comenzado en Andalucía. ⁦@Santi_ABASCAL⁩ 1 ⁦@Pablo_Iglesias_⁩ 0 próximo capítulo autonómicas y municipales, queremos generales antes ⁦@sanchezcastejon⁩ .</t>
  </si>
  <si>
    <t>pic.twitter.com/uUCBxpufvv</t>
  </si>
  <si>
    <t>Durian</t>
  </si>
  <si>
    <t>Iglesias es un guerrillero,y no asume que,la democracia le ha dicho ,que nó le quiere.Lo que esta haciendo pablo Iglesias,si lo ve en otro partido,ya estariá condenando los hechos. RT @Santi_ABASCAL: Dijimos que señalábamos a Pablo Iglesias como instigador de este clima de odio y de las agresiones que se produjeran...y hoy lo reiteramos. ¿Hasta cuándo van a a seguir los comunistas podemitas rompiendo la convivencia?</t>
  </si>
  <si>
    <t>Jose Luis Sanchez</t>
  </si>
  <si>
    <t>Esto es la "Real Politik" que le gusta a @pnique @Pablo_Iglesias_ Tu lema :"Si no te gusta la Constitución y las urnas, quemalas" Fascismo del puro EN @ahorapodemos que os apoyais con los separatistas. EN @vox_es no nos vamos a callar XQ somos DEMÓCRATASRT @Duelelab: Hoy hay un acto de @vox_es en Gerona al que acude @Ortega_Smith para celebrar los #40AñosDeConstitución y así es recibido por los socios de Pedro Sánchez, las ratas separatistas totalitarias y violentas de los CDR. ¿Quién es inconstitucional?</t>
  </si>
  <si>
    <t>El futuro nó está,escrito..💞💕💖</t>
  </si>
  <si>
    <t>https://twitter.com/Duelelab/status/1070605530081693697?s=19</t>
  </si>
  <si>
    <t>pic.twitter.com/UrP2rzKx7y</t>
  </si>
  <si>
    <t>Ex Presidente de Vox Madrid @madrid_vox . En @vox_es desde el Dia 0. Ahora un afiliado más al servicio de Vox y de España.</t>
  </si>
  <si>
    <t>Xavier Rius</t>
  </si>
  <si>
    <t>Yo estoy a favor de la República de Galapagar. 😂 @Pablo_Iglesias_</t>
  </si>
  <si>
    <t>Barcelona (Spain)</t>
  </si>
  <si>
    <t>Director de e-notícies. Plumilla. Indepe cuerdo. Reservado el derecho de admisión. Como en las casas de putas. Rt is not E.</t>
  </si>
  <si>
    <t>https://www.e-noticies.es/</t>
  </si>
  <si>
    <t>Imaginación para la casta @ahorapodemos @Pablo_Iglesias_ RT @FrayJosepho: BEAUTY SALON JAJAJAJAJAJAJAJAJAJAJAJAJAJAJAJAJAJAJAJAJAJAJAJAJAJAJAJAJAJAJAJAJAJAJAJAJAJAJAJAJAJAJAJAJAJAJAJAJAJAJAJAJJA ¡¡¡¡¡QUE ME MEOOOOOOOOO!!!!!</t>
  </si>
  <si>
    <t>https://twitter.com/FrayJosepho/status/1070704089636503552
https://twitter.com/jmdelalamo/status/1070674475925016576</t>
  </si>
  <si>
    <t>Mira @Pablo_Iglesias_ tú eres el responsable de esto por incitar a las revueltas y @sanchezcastejon por permitirlo por seguir en la poltrona de Moncloa. RT @numer344: Pacíficos independentistas persiguen al fascista Álvaro de Marichalar para regalarle una rosa. La alerta antifascista sigue su cauce: unos zarandean el árbol y otros recogen los frutos. ¿A qué me sonará eso?</t>
  </si>
  <si>
    <t>Santiago Abascal</t>
  </si>
  <si>
    <t>Dijimos que señalábamos a Pablo Iglesias como instigador de este clima de odio y de las agresiones que se produjeran...y hoy lo reiteramos. ¿Hasta cuándo van a a seguir los comunistas podemitas rompiendo la convivencia? RT @libertaddigital: VOX denuncia una agresión a dos de sus afiliados en Lorca (Murcia)</t>
  </si>
  <si>
    <t>Rubén García</t>
  </si>
  <si>
    <t>No tienes nada que comentar @Pablo_Iglesias_ esto te parece bien no? Eres un peligro para la democracia, eres un tirano en potencia al servicio del racista de @QuimTorraiPla queréis destruir España, pero nos tendréis a muchos enfrente RT @arturelpayaso2: Radicales independentistas, los amigos de Quim Torra y Puigdemont, agreden salvajemente a Álvaro de Marichalar, quien tuvo que huir para no ser linchado. Cataluña está en guerra, y quien no lo vea, que se lo haga mirar.</t>
  </si>
  <si>
    <t>Presidente de VOX 🇪🇸 #EspañaLoPrimero</t>
  </si>
  <si>
    <t>https://youtu.be/RaSIX4-RPAI</t>
  </si>
  <si>
    <t>Ciencias Políticas en la UCM, orgulloso español, CFT</t>
  </si>
  <si>
    <t>https://pbs.twimg.com/media/DtwaKMMWwAAExB7.jpg</t>
  </si>
  <si>
    <t>Pericles de Atenas</t>
  </si>
  <si>
    <t>—¡Vaya! Como no le gusta el resultado electoral, pide tomar las calles. —Santi Abascal ya se sabe, siempre contra la democracia. —Ha sido Pablo Iglesias. —Es que hay que luchar contra el fascismo donde sea.</t>
  </si>
  <si>
    <t>https://pbs.twimg.com/media/DtwZBkLW4AA8dPX.jpg</t>
  </si>
  <si>
    <t>Me marqué La Acrópolis, pero luego se me quedó ruinosa, como el Palau de les Arts.</t>
  </si>
  <si>
    <t>Por el suelo, Coletas @Pablo_Iglesias_ RT @jmdelalamo: La república les ha salido a 9,50</t>
  </si>
  <si>
    <t>Raúl Ercuätro</t>
  </si>
  <si>
    <t>Pablo Iglesias aceptando las tesis de Errejón es mi guilty pleasure. RT @Pablo_Iglesias_: “Quizá la izquierda necesita dejar de lado la épica para enamorarse de lo efectivo. Aceptar que no se acerca uno a la urna para cambiar el mundo, sino para que no le cierren el ambulatorio del barrio” Interesante este artículo de @gerardotc 👇🏼</t>
  </si>
  <si>
    <t>Zurdo contra el dextropatriarcado. No soporto el aguacate. Terdashiano. KH. Indie (VM) y reggaeton. ❤️💛💜. 🌱.</t>
  </si>
  <si>
    <t>La Píldora Roja Magazine</t>
  </si>
  <si>
    <t>Viñeta de hace dos días tras el llamamiento al “antifascismo militante” pasado domingo contra @vox_es por parte de @Pablo_Iglesias_. Sigue de actualidad. Colaboración con @CasoAislado_Es</t>
  </si>
  <si>
    <t>https://pbs.twimg.com/media/DtwY4orWoAcUnMu.jpg</t>
  </si>
  <si>
    <t>Viñetas, humor y algún comentario que otro más serio contra la corrección política.</t>
  </si>
  <si>
    <t>Manolo.</t>
  </si>
  <si>
    <t>Si no sabeis hacer un miserable logo, como quereis representar al pueblo en un parlamento, inútiles @ahorapodemos @Pablo_Iglesias_</t>
  </si>
  <si>
    <t>https://pbs.twimg.com/media/DtwY1wdWsAA2Mov.jpg</t>
  </si>
  <si>
    <t>Valle del Tiétar (España)</t>
  </si>
  <si>
    <t>Madrileño, Madridista y Español. Orgulloso de vivir en mi Valle. Harto de gilipollas y gilipolleces.</t>
  </si>
  <si>
    <t>El Diario Hoy</t>
  </si>
  <si>
    <t>Cuando el pueblo sale a luchar por los derechos de todos y no a pelear entre ellos, es imparable.  @gabrielrufian @pnique @Pablo_Iglesias_ @agarzon @LaFallaras @JesusCintora @gerardotc @ahorapodemos @Irene_Montero_ @MonederoJC @MayoralRafa @RamonEspinar</t>
  </si>
  <si>
    <t>http://www.eldiariohoy.es/2018/12/macron-se-rinde-ante-los-chalecos-amarillos-y-suspende-la-subida-del-impuesto-a-los-carburantes.html</t>
  </si>
  <si>
    <t>Jose A GG</t>
  </si>
  <si>
    <t>EL DIARIO HOY Noticias e información contados sin compromisos.</t>
  </si>
  <si>
    <t>Vuestro puto éxito 👏🏻👏🏻 @sanchezcastejon @Pablo_Iglesias_ RT @arturelpayaso2: Radicales independentistas, los amigos de Quim Torra y Puigdemont, agreden salvajemente a Álvaro de Marichalar, quien tuvo que huir para no ser linchado. Cataluña está en guerra, y quien no lo vea, que se lo haga mirar.</t>
  </si>
  <si>
    <t>Un poco de todo</t>
  </si>
  <si>
    <t>Urgentemente hay que quitar al guerra-civilista @Pablo_Iglesias_ de la política, un día de éstos, alguien se pasará tres pueblos y se armará lo peor, ya pasó con Calvo Sotelo y no es imposible que pase de nuevo, teniendo al coleta ahí.</t>
  </si>
  <si>
    <t>⁦@elmundoes⁩ ⁦@abc_es⁩ ⁦@larazon_es⁩ ⁦@libertaddigital⁩ ¿Y Marlaska? ¿La condena del Gobierno a las formaciones de extrema izquierda y comunistas para cuando? ¿Éste es el Gobierno de España o el de los extremistas?</t>
  </si>
  <si>
    <t>⁦@hermanntertsch⁩ ⁦@pablocasado_⁩ ⁦@Albert_Rivera⁩ ⁦@Santi_ABASCAL⁩ ¿Y Marlaska? ¿La condena del Gobierno a las formaciones de extrema izquierda y comunistas para cuando? ¿Éste es el Gobierno de España o el de los extremistas?</t>
  </si>
  <si>
    <t>https://pbs.twimg.com/media/Dtu7vnUWwAAlvHV.jpg</t>
  </si>
  <si>
    <t>francisco alcaraz</t>
  </si>
  <si>
    <t>¿Es el frentepopulismo una amenaza hoy? -  #GoogleAlerts</t>
  </si>
  <si>
    <t>http://goo.gl/alerts/N9EP9</t>
  </si>
  <si>
    <t>INTENDENTE MERCANTIL, SIN DISCIPLINA DE PARTIDO,VIAJERO,NATURAL DE JOILANDIA , MASTER EN DERECHO TRIBUTARIO Y ASESORIA FISCAL</t>
  </si>
  <si>
    <t>Pablo Iglesias, alias EL CHEPA, visita la tumba de Franco con nocturnidad y a oscuras y le pide que no le abandone, que no se marche, que el tal Sanchez es un niñato irresponsable y que,aguante que ya le queda poco al okupa de la Moncloa y que vendran tiempos mejores. JODEEEER</t>
  </si>
  <si>
    <t>https://pbs.twimg.com/media/Dt2I_k5XcAEBf6r.jpg</t>
  </si>
  <si>
    <t>Álvaro de las Heras</t>
  </si>
  <si>
    <t>La incitación al odio contra VOX de Pablo Iglesias deja sus primeras víctimas: Dos afiliados son agredidos en Murcia. Se le va a denunciar por ello?</t>
  </si>
  <si>
    <t>Antonio Alcántara</t>
  </si>
  <si>
    <t>#España en el #Mundo</t>
  </si>
  <si>
    <t>#PorUnMundoMejor El comunismo debe ser ilegalizado en todo el mundo y el separatismo erradicado.</t>
  </si>
  <si>
    <t>Abuelo de 5 nietas y 2 nietos. Jubilado. Orgulloso de ser de Jerez de la Frontera, del Ramiro y del Estu. El de la tele, un impostor.</t>
  </si>
  <si>
    <t>🎄 Así es el Belén que incluye desde el chalet de Pablo Iglesias, a Susana Díaz o concursantes de 'OT'</t>
  </si>
  <si>
    <t>https://pbs.twimg.com/media/Dt2IszDWwAA_rcq.jpg</t>
  </si>
  <si>
    <t>Charo</t>
  </si>
  <si>
    <t>Pablo Iglesias es un cerdo,por educación tendría q a ver saludado ,después del interés q puso el Rey por los hijos del chepas. RT @infiltradoxxx: Cuando el Rey supo del problema de los hijos de los Iglesias-Montero les llamo para preocuparse por su estado, hoy Pablo Iglesias le ha negado el saludo, poco más que añadir.</t>
  </si>
  <si>
    <t>Girando por el Mundo - 🍀🍀🍀</t>
  </si>
  <si>
    <t>pronto seré más feliz.👨‍👨‍👧👨‍👩‍👧‍👧 y 💃💃💃</t>
  </si>
  <si>
    <t>fran</t>
  </si>
  <si>
    <t>El torero Fran Rivera apoya a Vox y estalla contra Pablo Iglesias --  La osadía fascista es infinita,este idiota de Fran Rivera,viene de una familia desetructurada pone cuernos,pobre sus antepasados quien los conocen bien,su mamá ponía grandes cuernos,,</t>
  </si>
  <si>
    <t>https://www.ecorepublicano.es/2018/12/el-torero-fran-rivera-apoya-vox-y.html</t>
  </si>
  <si>
    <t>REPUBLICANO,,,,,,(UN REY NO ES REY POR VOLUNTAD DIVINA,SI NO POR LO BIEN QUE SE LO MONTARON DIVINAMENTE SUS ANTEPASADOS)</t>
  </si>
  <si>
    <t>xavi.F.C.</t>
  </si>
  <si>
    <t>El dardo de Bertín Osborne a Gabriel Rufián y Pablo Iglesias: "España es el país con más políticos idiotas por metro cuadrado" . Y opinadores también....</t>
  </si>
  <si>
    <t>MATARO(BCN)</t>
  </si>
  <si>
    <t>MUJERES SON METALES EN ESTADO DE ALGODON</t>
  </si>
  <si>
    <t>José Manuel Martínez</t>
  </si>
  <si>
    <t>El Rey llamó a Pablo Iglesias para preocuparse por sus hijos y así se lo ha ‘agradecido’ Iglesias</t>
  </si>
  <si>
    <t>Ordes, Galicia</t>
  </si>
  <si>
    <t>Cura de aldea de la Archidiócesis Compostelana. Barbeiros, Ordes, Coruña, Galicia. Santiago y cierra España.</t>
  </si>
  <si>
    <t>Rafael Pozo Fernández</t>
  </si>
  <si>
    <t>http://www.diarioalcazar.com/2018/12/pablo-iglesias-podria-ser-juzgado-por.html#.XArrU8BtuPF.twitter</t>
  </si>
  <si>
    <t>Presidente de A. D. E. V. I. F, luchador contra las estafas, permitidas por los políticos.</t>
  </si>
  <si>
    <t>Roman Cendoya</t>
  </si>
  <si>
    <t>Pablo Iglesias, el que pacta con los terroristas, ampara a los golpistas y es socio de cualquier nacionalista —desde su chalet de lujo— transmite, como español,y su preocupación por la irrupción de VOX. ¿Y cómo cree que estamos los españoles con él y su extrema izquierda?</t>
  </si>
  <si>
    <t>Madrid. España</t>
  </si>
  <si>
    <t>Empresario y periodista. San Sebastián 1964</t>
  </si>
  <si>
    <t>Noticiero Universal</t>
  </si>
  <si>
    <t>La democracia explicada con sencillez a Pablo Iglesias -</t>
  </si>
  <si>
    <t>https://noticierouniversal.com/actualidad/la-democracia-explicada-con-sencillez-a-pablo-iglesias/</t>
  </si>
  <si>
    <t>Noticias en tiempo real</t>
  </si>
  <si>
    <t>http://www.noticierouniversal.com</t>
  </si>
  <si>
    <t>https://twitter.com/MariaJamardoC/status/1070641533857218561
https://twitter.com/ahorapodemos/status/1070633150353760256</t>
  </si>
  <si>
    <t>Con la llamada de Pablo Iglesias el 2 de Diciembre a Manifestarse contra el Fachismo, porque no le gusto la irrupcion de Vox en las elecciones Andaluzas. Este militante suyo se lo ha tomado al pie de la letra. "Voy a matar a esos fascistas". Cont..⬇</t>
  </si>
  <si>
    <t>pic.twitter.com/d6BzIfSFFk</t>
  </si>
  <si>
    <t>Tolito</t>
  </si>
  <si>
    <t>París, Francia</t>
  </si>
  <si>
    <t>Ciudadano del Mundo. Ciutadà del Món. Defensor de la laicidad (laïcitat). Me gusta hacer reflexionar a todos aquellos que se creen en posesión de la verdad.</t>
  </si>
  <si>
    <t>https://elpais.com/politica/2018/12/06/actualidad/1544100381_203267.html?id_externo_rsoc=TW_CC</t>
  </si>
  <si>
    <t>Quieres Mejorar</t>
  </si>
  <si>
    <t>😀 interes por todo y queriendo siempre Mejorar 🇪🇸🇪🇸</t>
  </si>
  <si>
    <t>Mercedes Mosquera</t>
  </si>
  <si>
    <t>"El problema de Rufián es que tiene complejo de charnego. Sobreactúa para que le perdonen el no tener ocho apellidos catalanes" "España es el país con más políticos idiotas por metro cuadrado". Carga contra todos, excepto Albert Rivera y Pablo Casado.</t>
  </si>
  <si>
    <t>A Coruña, Galicia, España</t>
  </si>
  <si>
    <t>Especialista Universitaria en Protocolo, Comunicación e Imagen Corporativa. Una asturiana ESFP [Extrovertida, Sensorial, Emocional (Feeling), Perceptiva]</t>
  </si>
  <si>
    <t>https://m.facebook.com/?_rdr#!/mercedes.mosquerabango.7?ref=bookmark</t>
  </si>
  <si>
    <t>F. J. A.</t>
  </si>
  <si>
    <t>En su discurso pronunciado para conmemorar los 40 años de la Constitución, Feliipe VI pasó de puntillas por todo. Hasta Pablo Iglesias, que le negó el aplauso, se las vería y desearía para encontrar la mínima objeción en él. Por Eduardo Álvarez</t>
  </si>
  <si>
    <t>http://rsocial.elmundo.orbyt.es/epaper/xml_epaper/El%20Mundo/07_12_2018/pla_25589_Madrid/xml_arts/art_38244269.xml?SHARE=6C23C0F29C6C4F158F7CA6264B4863059324891C032E35983B0259D9A6F57882CDC7ADF0E945B79A4A05E1E2D978AD10BF91C08437D358708EB51971920CC47BA3ACFA839F34A19227112CE08903E5FD616BFBDD5974387581A7B1185EEC0E3A</t>
  </si>
  <si>
    <t>Aquí</t>
  </si>
  <si>
    <t>Nuevos amigos, nuevos dolores. 🙄</t>
  </si>
  <si>
    <t>Y aquí tenemos a Pablo Iglesias defendiendo los valores constitucionales frente a los ultras.</t>
  </si>
  <si>
    <t>vikingo</t>
  </si>
  <si>
    <t>Pablo Iglesias, un profesor que se subía la silla para cuestionar la aut...  vía @YouTube</t>
  </si>
  <si>
    <t>https://youtu.be/HKVoh7ypmH0</t>
  </si>
  <si>
    <t>http://page.is/larevuelo53</t>
  </si>
  <si>
    <t>DaniPintoB 🇪🇸</t>
  </si>
  <si>
    <t>La incitación al odio contra @VOX_es de Pablo Iglesias y del PSOE deja sus primeras víctimas: Dos afiliados son agredidos en Murcia</t>
  </si>
  <si>
    <t>Barcelona-ESPAÑA 🇪🇸🇪🇺</t>
  </si>
  <si>
    <t>Vicepresidente @espanyacatalans-Sec. Gral. @ASAPRONA-Vocal Associació Comerciants ETN. #RealValladolid #RealMadrid #España #Historia #IIGM #Queen #NBA #VOX #F1</t>
  </si>
  <si>
    <t>http://danielpintobausela.wordpress.com</t>
  </si>
  <si>
    <t>LA BIOGRAFÍA IDEOLÓGICA DE PABLO IGLESIAS CONTADA POR ÉL MISMO  vía @YouTube</t>
  </si>
  <si>
    <t>https://youtu.be/nUnkRJZLX2E</t>
  </si>
  <si>
    <t>Éste periodista @Ruiz_Noticias dice que @vox_es se convierte en un partido millonario, lo dice de una forma torticera.Sabía usted Sr.@Ruiz_Noticias que haría falta el doble solo para comprar la casa de Pablo Iglesias?? RT @Ruiz_Noticias: VOX SE CONVIERTE EN UN PARTIDO MILLONARIO: - Obtiene 660.000€ por su entrada en el parlamento andaluz - Suma 440.000€ de presupuesto anual - Acumula 1,8 millones de euros en donaciones desde su nacimiento  vía @cuatro</t>
  </si>
  <si>
    <t>https://twitter.com/Ruiz_Noticias/status/1070289345742028800
https://www.cuatro.com/noticias/espana/cuentas-vox_2_2669655179.html</t>
  </si>
  <si>
    <t>https://pbs.twimg.com/media/Dtpt9DGWoAU3mDn.jpg</t>
  </si>
  <si>
    <t>Jiménez Losantos explica quién fue el verdadero Pablo Iglesias  vía @YouTube</t>
  </si>
  <si>
    <t>https://youtu.be/FtneF4emyhA</t>
  </si>
  <si>
    <t>R. Gaab 🇪🇺</t>
  </si>
  <si>
    <t>#l6cCrisisDeLos40: por eso Pablo Iglesias (1978) se ha comprado un chalé que te cagas, para sobrellevar mejor su 40 cumpleaños.</t>
  </si>
  <si>
    <t>I speak in favor of free speech and civil rights. I dislike nationalism, xenophobia and racism. Irony. Punk writer.</t>
  </si>
  <si>
    <t>http://gaab75.blogspot.com</t>
  </si>
  <si>
    <t>Hortens</t>
  </si>
  <si>
    <t>Castellón</t>
  </si>
  <si>
    <t>Activista, cambia el rumbo el caminante,y así como todo cambia no es extraño que yo cambie siempre en movimientoés.Molt dificil vèncer a algú que mai es rendeix</t>
  </si>
  <si>
    <t>OgniVoltaPiùRosso</t>
  </si>
  <si>
    <t>Imperdible!!! Te recomiendo que escuches este audio de @tuerka_ovt - Pablo Iglesias con Luis María Ansón en @ivoox</t>
  </si>
  <si>
    <t>http://www.ivoox.com/30537879</t>
  </si>
  <si>
    <t xml:space="preserve">Alcala de Henares </t>
  </si>
  <si>
    <t>Técnico en Administración de Personal, Enredado en @SomEnergia, @SomConnexio, @ctxt_es, @Nostoc_es y @LibreGaia #DelAtletiSoy</t>
  </si>
  <si>
    <t>Marty Brunet</t>
  </si>
  <si>
    <t>Hombres van a huir de las mujeres por miedo a ser denunciados.... Para vestir Santos... Pablo Iglesias dice que el feminismo es la "mejor vacuna" contra "movimientos reaccionarios", en alusión a Vox</t>
  </si>
  <si>
    <t>http://va.newsrepublic.net/s/sUxwMY</t>
  </si>
  <si>
    <t>MCN. Festivals of Music, Cibernetica, Nature. Cadi 1984-1990. 'Science As Man's Liberation Respecting and Protecting The Natural World'</t>
  </si>
  <si>
    <t>https://www.facebook.com/martin.brunetpuigbo</t>
  </si>
  <si>
    <t>La llamada publica de Pablo Iglesias y los lideres de la formacion Podemos a nivel nacional y en Andalucia de manifestrase contra Vox,"Tiene sus primeras Víctimas". Los grupos de Extrema izquierda "se han dejado de mariconadas y han salido a cazar Fachas", verdad Pablo?</t>
  </si>
  <si>
    <t>https://pbs.twimg.com/media/Dt1_vkIXQAARtOc.jpg</t>
  </si>
  <si>
    <t>Happy World</t>
  </si>
  <si>
    <t>Después de que Pablo Iglesias harengara a sus seguidores a iniciar una guerra antifascista en las calles, con los resultados que ya estamos viendo. Qué persona con sentido común le quedará aún en el barco?</t>
  </si>
  <si>
    <t>https://pbs.twimg.com/media/Dt1_fzFWsAEq_N7.jpg</t>
  </si>
  <si>
    <t>Marx fracasó en su vida. Le quieres copiar? No te puedo creer</t>
  </si>
  <si>
    <t>Toni Armenteras</t>
  </si>
  <si>
    <t>El cinismo de Pablo Iglesias: del 'Chávez es dios' al 'Venezuela no existe' - Libre Mercado</t>
  </si>
  <si>
    <t>https://www.libremercado.com/2018-09-05/el-cinismo-de-pablo-iglesias-del-chavez-es-dios-al-venezuela-no-existe-1276624386/</t>
  </si>
  <si>
    <t>Robustiano</t>
  </si>
  <si>
    <t>Y que están esperando! Y al del motocarro también.</t>
  </si>
  <si>
    <t>Orgulloso de España.💚🇪🇸🇪🇸🇪🇸💙 ⛔Grupos y Directos No⛔. Estoy desolado!😢 Me han bloqueado El Coletas, Otegui, Puigdemont, Pilar Rahola y Pablo Hasel😢</t>
  </si>
  <si>
    <t>José Antonio</t>
  </si>
  <si>
    <t>GABRIEL, LO QUE PABLO IGLESIAS TRATA DE EVITAR, ES, QUE TE JUNTES CON SUS GEMELOS, Y LOS DESVIES DE LA TRAYECTORIA ESTALINISTA PALACIEGA, QUE PAPA LENIN LES MARCA;POR LA FOTO, DEBES SER DE LA EDAD DE LOS GEMELOS 🤗 SALUDOS. RT @gabylopez83: Así es, no puedo pasar a menos de 30Kms de Galapagar.</t>
  </si>
  <si>
    <t>https://twitter.com/gabylopez83/status/1071140685305298944
https://twitter.com/gabylopez83/status/1070802485986684929</t>
  </si>
  <si>
    <t>Molina de Seg, Marmenor,Madrid</t>
  </si>
  <si>
    <t>Pa qué quiés que vaya? Pa ver cuatro espigas arroyás y pegás a la tierra; pa ver los sarmientos ruines y mustios y esnuas las cepas... TENGO UNA CANSERA!</t>
  </si>
  <si>
    <t>María José Fernández</t>
  </si>
  <si>
    <t>En uno de los debates a 4 de las pasadas elecciones generales, Pablo Iglesias estuvo reivindicando esta lucha de Andalucía. Lo abuchearon los restantes candidatos. Posteriormente se rieron de él periodistas y tertulianos, como si fuera un ignorante. #l6cCrisisDeLos40</t>
  </si>
  <si>
    <t>Orgullosa de ser clase trabajadora. Cafetera, resistente, defensora de los animales y el medio ambiente. Rt no es estar de acuerdo.</t>
  </si>
  <si>
    <t>Franca Dominguez</t>
  </si>
  <si>
    <t>http://chng.it/M8K9wsfc</t>
  </si>
  <si>
    <t>Mariara Carabobo</t>
  </si>
  <si>
    <t>Facilitadora Musicoterapeuta en sanacion con la voz... Terapias de Reiki y masaje sacrocraneal.. Voluntaria de René Mey..</t>
  </si>
  <si>
    <t>👌👍👏👏👏👏😂😂😂😂El dardo de Bertín Osborne a Gabriel Rufián y Pablo Iglesias: "España es el país con más políticos idiotas por metro cuadrado"</t>
  </si>
  <si>
    <t>El dardo de Bertín Osborne a Gabriel Rufián y Pablo Iglesias: "España es el país con más políticos idiotas por me...</t>
  </si>
  <si>
    <t>http://va.newsrepublic.net/s/ZTybMY</t>
  </si>
  <si>
    <t>Ximena Palacios Ruiz</t>
  </si>
  <si>
    <t>Pablo Iglesias se emociona con Chavez y dice que Venezuela es un modelo a seguir</t>
  </si>
  <si>
    <t>https://youtu.be/zDlWsNm6fnE</t>
  </si>
  <si>
    <t>Una Boliviana en Madrid!!!!</t>
  </si>
  <si>
    <t>Actriz, Bailarina,Modelo publicitaria y Licenciada en Comunicación Social con especialidad en Marketing y Comunicación Empresarial.</t>
  </si>
  <si>
    <t>http://youtu.be/MqmsbiSiIYE</t>
  </si>
  <si>
    <t>Pablo Iglesias se desespera al quedarse solo en su "cacería" al Rey Juan...  vía @YouTube</t>
  </si>
  <si>
    <t>https://youtu.be/Msk5PBxuCgE</t>
  </si>
  <si>
    <t>UGT ILUNION Outsourcing</t>
  </si>
  <si>
    <t>El próximo domingo 9 de diciembre a las 12 h. rendiremos homenaje a nuestro fundador PABLO IGLESIAS, en el 93 Aniversario de su fallecimiento. Cementerio Civil de Madrid en la Avenida de Daroca @SectorLimSegUGT @FesmcUGTMadrid @UGTMadrid</t>
  </si>
  <si>
    <t>https://pbs.twimg.com/media/Dt19PrBWsAAWV87.jpg</t>
  </si>
  <si>
    <t>Sección Sindical Estatal UGT en ILUNION Outsourcing.Trabajamos para defender los derechos de los compañeros/as de la División de ILUNION Outsourcing.</t>
  </si>
  <si>
    <t>http://www.ugtilunionoutsourcing.es</t>
  </si>
  <si>
    <t>http://atres.red/qnnvr1</t>
  </si>
  <si>
    <t>Niurka Martinez</t>
  </si>
  <si>
    <t>Sufrimientos de Pablo como Apóstol.Y además de otras cosas, lo que sobre mí se agolpa cada día, la preocupación por todas las iglesias. ¿Quién enferma, y yo no enfermo? ¿A quién se le hace tropezar, y yo no me indigno? 2 Corintios 11:28-29 Compáralo con los Falsos de Hoy!</t>
  </si>
  <si>
    <t>paquixula</t>
  </si>
  <si>
    <t>¿Y tú crees que el calentamiento global, la crisis energética y la gripe son culpa de Pedro Sánchez o de Pablo Iglesias? Porque a este paso, pronto habrá quien lo diga.</t>
  </si>
  <si>
    <t>Lo que usted piense de mi no es asunto mío.</t>
  </si>
  <si>
    <t>LógicoSocial⚒</t>
  </si>
  <si>
    <t>Este sujeto es así de contradictorio, si por algo se caracteriza Pablo Iglesias es por decir que es un marxista ortodoxo y vivir como un marqués en una mansión de Galapagar #Podemos RT @libertaddigital: El derecho a portar armas es una de las bases de la democracia excepto si las porta alguien de VOX y además a caballo, que entonces dónde vamos a llegar en pleno 2018.</t>
  </si>
  <si>
    <t>https://twitter.com/libertaddigital/status/1071059601355927552?s=21</t>
  </si>
  <si>
    <t>"La libertad no tiene su valor en sí misma: hay que apreciarla por las cosas que con ella se consiguen"</t>
  </si>
  <si>
    <t>https://gab.com</t>
  </si>
  <si>
    <t>Buenos Aires, Argentina</t>
  </si>
  <si>
    <t>lifeinLomoMagullo</t>
  </si>
  <si>
    <t>Me ha gustado un vídeo de @YouTube ( - Otra Vuelta de Tuerka - Pablo Iglesias con Juan Diego Botto (Programa</t>
  </si>
  <si>
    <t>http://youtu.be/VaUF75JLF4o?a</t>
  </si>
  <si>
    <t>Estas personas son de España. No son fachas de la ultra izquierda de Pablo Iglesias y la ETA y Pedro Sánchez están en el punto de mira</t>
  </si>
  <si>
    <t>pic.twitter.com/Lcmt9lfLv1</t>
  </si>
  <si>
    <t>Lola Zapater🇪🇸</t>
  </si>
  <si>
    <t>Pablo Iglesias salía en las tertulias de la 13 en el cascabel RT @FrayJosepho: Dicen que los medios "han aupado a Vox como auparon a Podemos". Vamos a ver: a Iglesias lo sacaban las teles a todas horas antes de la eclosión de Podemos en las elecciones europeas. De Abascal HAN HABLADO mucho las televisiones pero casi siempre para denigrarlo. Y en eso siguen.</t>
  </si>
  <si>
    <t>https://twitter.com/FrayJosepho/status/1070967548534054915</t>
  </si>
  <si>
    <t>auxe.</t>
  </si>
  <si>
    <t>Llamalo así de Tabarnia</t>
  </si>
  <si>
    <t>Si alguien no acepta un resultado electoral (legal, claro) y llama a la violencia contra parte de la sociedad que ha ido a votar una opción legal, en Mi Pueblo lo llamamos FASCISTA. Aquí se llama Pablo Iglesias. RT @Mazzinguerzett1: ¿Hay algún independentista o "antifascista" que sepa argumentar sin insultar? Pregunta seria.</t>
  </si>
  <si>
    <t>https://twitter.com/mazzinguerzett1/status/1070778974022840320</t>
  </si>
  <si>
    <t>Disfrutando de una vida demasiado breve para desaprovecharla en luchas estériles. Al fin y al cabo la vida es demasiado corta para hacerla mezquina (Disraeli)</t>
  </si>
  <si>
    <t>Javier Muñoz</t>
  </si>
  <si>
    <t>Otra Vuelta de Tuerka - Pablo Iglesias con Luis María Anson</t>
  </si>
  <si>
    <t>https://www.youtube.com/attribution_link?a=0ElnmTiPYLE&amp;u=%2Fwatch%3Fv%3D-zFA9g24CAs%26feature%3Dshare</t>
  </si>
  <si>
    <t>Ubicua</t>
  </si>
  <si>
    <t>aprendiendo</t>
  </si>
  <si>
    <t>El Perro Verde (@javi)</t>
  </si>
  <si>
    <t>OVIEDO..........ASTURIAS......</t>
  </si>
  <si>
    <t>Hoy puede ser un gran día como dice la canción🌹🌹🌹 La vida ya es muy dura de por sí no pongas las cosas peor🌹🌹🌹 ¡¡ Y por fin sucedió ya es Historia !!.</t>
  </si>
  <si>
    <t>Jose Miguel Martinez Monroy.</t>
  </si>
  <si>
    <t>Pablo Iglesias se desespera al quedarse solo en su "cacería" al Rey Juan Carlos.  vía @YouTube</t>
  </si>
  <si>
    <t>Venezuela 🇻🇪</t>
  </si>
  <si>
    <t>Si Venezuela es importante para ti encontraras un camino para luchar. Si no lo es, siempre tendrás excusas para no hacerlo: Rebeldía, el camino a la Libertad.!!</t>
  </si>
  <si>
    <t>JM🇪🇸🇪🇸</t>
  </si>
  <si>
    <t>Tan solo un Español mas y orgulloso de serlo 🇪🇸🇪🇸</t>
  </si>
  <si>
    <t>Harto de puchi Matrix</t>
  </si>
  <si>
    <t>El dardo de Bertín Osborne a Gabriel Rufián y Pablo Iglesias: "España es el país con más políticos idiotas por metro cuadrado". El presentador de Telecinco carga contra todos, excepto Albert Rivera y Pablo Casado. #LaSilenciosaCat</t>
  </si>
  <si>
    <t>https://www.huffingtonpost.es/2018/12/07/el-dardo-de-bertin-osborne-a-gabriel-rufian-y-pablo-iglesias-espana-es-el-pais-con-mas-politicos-idiotas-por-metro-cuadrado_a_23611885/</t>
  </si>
  <si>
    <t>Para Göbbels, «una mentira repetida mil veces se convierte en una verdad» Llevan años haciendolo. Paremos la hemoragia economica y salvemos España.</t>
  </si>
  <si>
    <t>https://www.lasilenciosacat.org</t>
  </si>
  <si>
    <t>Mariano</t>
  </si>
  <si>
    <t>De IZQUIERDAS y en Madrid con PODEMOS (Moncloa-Chamberí): Vivo en un País donde la Mafia se resiste a dejar de gobernar🔎, ¡Esperemos a ver que hace Pedro!</t>
  </si>
  <si>
    <t>jorge stanton</t>
  </si>
  <si>
    <t>Éste es Pablo Iglesias:</t>
  </si>
  <si>
    <t>https://www.youtube.com/watch?v=4AZ6l_erQeo</t>
  </si>
  <si>
    <t>DonUno</t>
  </si>
  <si>
    <t>Cuando se hacen estas cosas tan cutres, hay un creativo gráfico q deja de cobrar por su trabajo. Luego vendrás, desde tu Dacha millonaria Pablo Iglesias, hablando de trabajo de calidad y dignamente remunerado.</t>
  </si>
  <si>
    <t>https://pbs.twimg.com/media/Dt11cY4XQAA2Z70.jpg</t>
  </si>
  <si>
    <t>No hay dos sin tres, dicen. Pero de Uno nadie dijo nada. Unitario y pluralmente antisecesionista. Dadaísta de la izquierda.</t>
  </si>
  <si>
    <t>R Umpiérrez Peñate</t>
  </si>
  <si>
    <t>#ENCUESTAS TU DECIDES - ENTRA EN LA WEB - VOTA - OPINA - COMPARTE  ¡Somo la izquierda pacifica y democrática ! Para salvar a España que matar a todos los fachas a nuestra derecha.</t>
  </si>
  <si>
    <t>http://encuestas.symmachia.es/encuestas/politica/esta-incitando-a-la-violencia-pablo-iglesias-contra-la-extrema-derecha/</t>
  </si>
  <si>
    <t>La democracia de Pablo Iglesias.</t>
  </si>
  <si>
    <t>https://www.youtube.com/watch?v=N6Fc5B_gRYI&amp;fbclid=IwAR0mbXe02Xt0WhImQH9vV1SjytalDyeBhVRmajlhnheIQAnaGwlbCD2x87E</t>
  </si>
  <si>
    <t>Golden</t>
  </si>
  <si>
    <t>Nunca he estado tan de acuerdo con Pablo Iglesias. La derechita lineal debería aplaudirle y aprovecharlo en vez de criticarle (reírse está permitido). RT @okdiario: Maldita hemeroteca 😏 @Pablo_Iglesias_ da la razón a @Santi_ABASCAL: “El derecho a portar armas es una de las bases de la democracia” Por @Gonzagads92 👇</t>
  </si>
  <si>
    <t>Old West</t>
  </si>
  <si>
    <t>«Oh, you’re offended? Well, so fucking what?»</t>
  </si>
  <si>
    <t>http://taxation.is</t>
  </si>
  <si>
    <t>El abuelo de Pablo Iglesias y su nieto son muy fascista. Hay tenéis la prueba. Arriba España y la dignidad de la Guardia Civil y policía nacional y todos los cuerpos de seguridad del Estado y la carta Magna y COSTITUCION y la convivencia de todos los Españoles. Quien va en contra</t>
  </si>
  <si>
    <t>https://pbs.twimg.com/media/Dt10zaUWsAA3bQN.jpg</t>
  </si>
  <si>
    <t>Mariano Mariño</t>
  </si>
  <si>
    <t>Cáceres</t>
  </si>
  <si>
    <t>Abogado en libre ejercicio de la profesión. Juez Único de Competición FEXF. Twitter personal. http://mmarinoabogado.wordpress.com</t>
  </si>
  <si>
    <t>El malo de los Rat Pack</t>
  </si>
  <si>
    <t>Yo lo que quiero es foyar, ni chalecos amarillos, ni vox ,ni Pablo Iglesias ,ni el PSOE ,ni su puta madre Foyar, no me entendéis F...O...L...L...A...R . Ya me da igual... donuts grande que donette...</t>
  </si>
  <si>
    <t>https://pbs.twimg.com/media/Dt1z-rtW0AANlzm.jpg</t>
  </si>
  <si>
    <t>Todo eso antes, era campo.</t>
  </si>
  <si>
    <t>http://elmalodelosratpack.blogspot.com</t>
  </si>
  <si>
    <t>Leonardo Pizani</t>
  </si>
  <si>
    <t>Carta abierta a Pablo Iglesias:  vía @14ymedio</t>
  </si>
  <si>
    <t>https://www.14ymedio.com/blogs/cajon_de_sastre/Carta-abierta-Pablo-Iglesias_7_2560013974.html#.XArW3C8bjqo.twitter</t>
  </si>
  <si>
    <t>Jose Elias Mota</t>
  </si>
  <si>
    <t>http://chng.it/km2Cn5Nz</t>
  </si>
  <si>
    <t>Poeta, Licdo.en Administración, MSc. Gerencia de Recursos Humanos. 🙂</t>
  </si>
  <si>
    <t>Lord Tywin Lannister</t>
  </si>
  <si>
    <t>Pablo iglesias hace un llamamiento a tomar las calles y ya llevamos unos pocos dias y nadie hace responsable a semejante tio mierda... Luego escriben un poema a la "mujer de" y tienen que pagarle 70.000€... que pasa aqui en este pais con los mierdas de los políticos?</t>
  </si>
  <si>
    <t>Roca Casterly</t>
  </si>
  <si>
    <t>Señor de Roca Casterly. Guardián del Occidente.</t>
  </si>
  <si>
    <t>Por justificar una vez mas la violencia politicamente al igual que hizo con la violencia de ETA. y por alentarla. Ministerio de Justicia: Pena de prisión de 1 a 4 años para Pablo Iglesias por delito de Odio - ¡Firma la petición!  vía @change_es</t>
  </si>
  <si>
    <t>http://chng.it/rSktDHZk</t>
  </si>
  <si>
    <t>diaz lorena #NSB</t>
  </si>
  <si>
    <t>RECOPILACIÓN machista de Pablo IGLESIAS  vía @YouTube</t>
  </si>
  <si>
    <t>https://youtu.be/EG93mJ-GFVQ</t>
  </si>
  <si>
    <t>Ascen Gómez</t>
  </si>
  <si>
    <t>El dardo de Bertín Osborne a Gabriel Rufián y Pablo Iglesias: "España es el país con más políticos idiotas por metro cuadrado"  qué barbaridad esta Reflexión ; hay que respetar otras tendencias politicas Guste o nó.ESO ES SER DEMÓCRATA. **RESPETO**🎩👒😲</t>
  </si>
  <si>
    <t>http://flip.it/lR3PhU</t>
  </si>
  <si>
    <t>Dona, optimista de la vida!♡♧☆</t>
  </si>
  <si>
    <t>https://twitter.com/hermanntertsch/status/1070625337036455938</t>
  </si>
  <si>
    <t>https://pbs.twimg.com/media/DtugEMxWwAU8h7X.jpg</t>
  </si>
  <si>
    <t>George Orwell 67</t>
  </si>
  <si>
    <t>https://ift.tt/2rr51Wr</t>
  </si>
  <si>
    <t>Español. Lo demás, en estos momentos, es accesorio...</t>
  </si>
  <si>
    <t>https://georgeorwell67.blogspot.com/</t>
  </si>
  <si>
    <t>¡Nuevo programa de Otra Vuelta de Tuerka! En esta ocasión he entrevistado al actor Tristán Ulloa. Si ya os gustaba Tristán como a mi, después de escucharle aquí os vais a enamorar como yo.</t>
  </si>
  <si>
    <t>Manolo de Tabarnia.</t>
  </si>
  <si>
    <t>http://chng.it/KgBJGbSC</t>
  </si>
  <si>
    <t>Barcelona, Tabarnia,España.</t>
  </si>
  <si>
    <t>No hay prado sin grillo,ni tonto sin lazo amarillo.</t>
  </si>
  <si>
    <t>Elentir 🇪🇸</t>
  </si>
  <si>
    <t>El Rey llamó a Pablo Iglesias para preocuparse por sus hijos y así se lo ha "agradecido" Iglesias. Uno puede ser republicano y ser una persona educada. El líder de Podemos parece incapaz de entenderlo.</t>
  </si>
  <si>
    <t>Vigo · Galicia · España</t>
  </si>
  <si>
    <t>«Lo único que se necesita para que triunfe el mal es que los hombres de bien no hagan nada.» Edmund Burke</t>
  </si>
  <si>
    <t>http://www.elentir.info</t>
  </si>
  <si>
    <t>libertad de expresión.Lucha, poder y fuerza.</t>
  </si>
  <si>
    <t>Vale con oír a este personaje... Todo un talento..!!! De la maldad.. el señor PABLO IGLESIAS...</t>
  </si>
  <si>
    <t>https://youtu.be/FHjGfot7oKc</t>
  </si>
  <si>
    <t>Con ganas de escuchar a toda persona, decidida a enseñar. Ni de izquierda, ni de centro, ni de derecha. Si a la libertad de expresión. Español y valenciano.</t>
  </si>
  <si>
    <t>Fermín Huerta</t>
  </si>
  <si>
    <t>Lo que viene a ser un, gracias Pablo Iglesias, contigo empezó todo. Y así es. RT @BernaldoDQuiros: La radicalización de la izquierda española y su presión polarizadora sobre el resto es la consecuencia inevitable del agotamiento del programa socialdemócrata. Han buscado su renovación en el extremo y han generado una reacción, eso es Vox.</t>
  </si>
  <si>
    <t>https://twitter.com/BernaldoDQuiros/status/1071115234557992960</t>
  </si>
  <si>
    <t>Leonor Mogio</t>
  </si>
  <si>
    <t>93 aniversario de la muerte de Pablo Iglesias Pose</t>
  </si>
  <si>
    <t>pic.twitter.com/UboHisoDS6</t>
  </si>
  <si>
    <t>vive la vida de forma que cuando tus hijos piensen en justicia e integridad piensen en ti Activista Militante PSOE y la UGT</t>
  </si>
  <si>
    <t>http://eleanor-viviendo.blogspot.com/</t>
  </si>
  <si>
    <t>Mariano P. Vidaller</t>
  </si>
  <si>
    <t>http://www.diarioalcazar.com/2018/12/pablo-iglesias-podria-ser-juzgado-por.html#.XArT8nnv2pI.twitter</t>
  </si>
  <si>
    <t>🇪🇺🇪🇸Español - Sangre 💯Catalana - ❤ 🇮🇨Canario</t>
  </si>
  <si>
    <t>FD</t>
  </si>
  <si>
    <t>Estos son los que han respondido a la llamada de @ahorapodemos y del comunista Pablo Iglesias. Esto es lo que queremos para España? a quienes representan estos ninis violentos?</t>
  </si>
  <si>
    <t>pic.twitter.com/aYdLdVs4Ja</t>
  </si>
  <si>
    <t>Sev</t>
  </si>
  <si>
    <t>Mi vocación: Servir al ciudadano, pero la vida me deparo otro destino. Por mis venas corre sangre verde/azul. Ahora soy Ángel Custodio</t>
  </si>
  <si>
    <t>http://facebook.com/f.diazfran</t>
  </si>
  <si>
    <t>Gloria Sol Gomez</t>
  </si>
  <si>
    <t>Para mí el primero Pablo Iglesias presidente. RT @ElenaSevillano_: Querida @laSextaTV ¿Por qué esta el orden alterado? ¿No debería estar @Pablo_Iglesias_ el tercero y @pablocasado_ el cuarto según los datos del propio cuadro?</t>
  </si>
  <si>
    <t>https://twitter.com/ElenaSevillano_/status/1070966544681889793</t>
  </si>
  <si>
    <t>Asistente social, diplomada en esquí, artesanía. Podemos.</t>
  </si>
  <si>
    <t>https://twitter.com/Pablo_Iglesias_/status/1070362164437778433</t>
  </si>
  <si>
    <t>https://pbs.twimg.com/media/DtqqvGsXgAA2bUW.jpg</t>
  </si>
  <si>
    <t>Luis Leonardo Villalba</t>
  </si>
  <si>
    <t>Vídeo carga de los Mozos contra los comandos de Pablo Iglesias e independentismo en Terrasa</t>
  </si>
  <si>
    <t>https://www.lasvocesdelpueblo.com/video-carga-de-los-mozos-contra-los-comandos-de-pablo-iglesias-e-independentismo-en-terrasa/</t>
  </si>
  <si>
    <t>LA TIRANÍA NO PUEDE DERROTAR EL PODER DE LAS IDEAS.</t>
  </si>
  <si>
    <t>https://www.facebook.com/mogiogabardino/videos/1975339259167846/</t>
  </si>
  <si>
    <t>EL BUENO, EL PROGRE Y EL FACHA</t>
  </si>
  <si>
    <t>Pablo Iglesias tiene que sentarse en el banquillo por incitar al odio y la violencia. RT @Miotroyo2parte: Dos afiliados de @vox_es han sido agredidos en Lorca (Murcia), cuando se encontraban trabajando en la sede de su partido. Imagino que estarás contento, @Pablo_Iglesias_, ya estás consiguiendo lo que querías.</t>
  </si>
  <si>
    <t>pic.twitter.com/RJJ2d3VWxh</t>
  </si>
  <si>
    <t>SÍ, votaré #VOX. Visita mi canal youtube EL BUENO EL PROGRE Y EL FACHA. Te echarás unas risas.</t>
  </si>
  <si>
    <t>https://www.youtube.com/channel/UC4pLa55R6EOOyyfUaZ3eenQ</t>
  </si>
  <si>
    <t>Carlos María Florit</t>
  </si>
  <si>
    <t>La carta viral de un médico a Pablo Iglesias en que le explica el auge de Vox en las elecciones andaluzas</t>
  </si>
  <si>
    <t>https://sevilla.abc.es/elecciones/andalucia/sevi-carta-medico-malaga-pablo-iglesias-201812041654_noticia.html?fbclid=IwAR2Rus2c4Gv7zxhJncLYw4HZj2HICjDKt7KSJEoMNyjL6itwX-QT0WzDuxc#ns_campaign=rrss-inducido&amp;ns_mchannel=abcdesevilla-es&amp;ns_source=fb&amp;ns_linkname=noticia-foto&amp;ns_fee=0</t>
  </si>
  <si>
    <t>Abogado desde 1997. Autor de Dios conocerá a los suyos. Colaborador de http://Primiciaweb.com</t>
  </si>
  <si>
    <t>http://www.florit-abogados.com</t>
  </si>
  <si>
    <t>AlvertoaS</t>
  </si>
  <si>
    <t>Pablo Iglesias con un militante de #podemos a su lado hablando de política.. RT @RIVAS_Llanera: 📽 @Pablo_Iglesias_ califica a @vox_es como la corriente FRANQUISTA del @PPopular y a su líder @Santi_ABASCAL como un corrupto, bajo la Protección de @EsperanzAguirre 🔴 PREGUNTA ⁉️ ¿ Qué es @ahorapodemos y su líder ? @Pablo_Iglesias_ en Espejo Público.</t>
  </si>
  <si>
    <t>ESPAÑA (Iberia)</t>
  </si>
  <si>
    <t>☝️☝️ Quizas no comparta tu opinión, pensador beligerante. España ha despertado🇪🇸</t>
  </si>
  <si>
    <t>oscar bravo lopez</t>
  </si>
  <si>
    <t>Sergio</t>
  </si>
  <si>
    <t>No aplaudieron ayer al himno nacional de España los diputados de Podemos e Izquierda Unida. ¿Cómo va a aplaudir la patulea comunista en el Congreso si su jefe, Pablo Iglesias, tiene dicho que él no puede ni "decir España"?.</t>
  </si>
  <si>
    <t>Conservador, liberal y monárquico.</t>
  </si>
  <si>
    <t>Pablo Iglesias El RESPONDÓN 🔔 PLURALISMO POLÍTICO, 🔈 URGENTE,</t>
  </si>
  <si>
    <t>https://goo.gl/DDX6NF?blv29=6663718296</t>
  </si>
  <si>
    <t>ZETAS GAC OVIEDO</t>
  </si>
  <si>
    <t>Zeta la última letra... los primeros en llegar y los últimos en irse. #SERVIR Y PROTEGER. ☎️091🇪🇸🇪🇸🚔👮 TWITTER NO OFICIAL</t>
  </si>
  <si>
    <t>Juan David Escobar</t>
  </si>
  <si>
    <t>Con más ego que Pablo Iglesias que no te quepa duda...</t>
  </si>
  <si>
    <t>snap: juanda98_11jd //instagram: juanda98_11jd// Ingeniería UJI 🌩⛈</t>
  </si>
  <si>
    <t>Rubén Sánchez🎗</t>
  </si>
  <si>
    <t>http://youtu.be/gjuLta58Png?a</t>
  </si>
  <si>
    <t>Sants, Barcelona</t>
  </si>
  <si>
    <t>Con el barrio a cuestas.</t>
  </si>
  <si>
    <t>http://cansants.com</t>
  </si>
  <si>
    <t>El violento mensaje de Pablo Iglesias incitando al odio contra @vox_es deja sus primeras víctimas: Dos afiliados son agredidos en Murcia por la extrema izquierda.</t>
  </si>
  <si>
    <t>VOX en vena</t>
  </si>
  <si>
    <t>Es más fácil encontrar un facha en un casoplón de la urbanización de Pablo Iglesias que pasando frío a las 10 de la noche por las calles de Granada. Amén.</t>
  </si>
  <si>
    <t>Teresa</t>
  </si>
  <si>
    <t>¿Cuando será juzgado Pablo Iglesias por incitación a la violencia según el Código Penal? RT @BenemeritosGC: Piden la detención de Pablo Iglesias por ser el promotor de las violentas manifestaciones contra VOX en Andalucía</t>
  </si>
  <si>
    <t>https://twitter.com/benemeritosgc/status/1070715791329427462
https://www.elmatinal.com/actualidad/piden-la-detencion-de-pablo-iglesias-por-ser-el-promotor-de-las-violentas-manifestaciones-contra-vox-en-andalucia/</t>
  </si>
  <si>
    <t>Privilegiada que vive en Málaga, mi mejor trabajo ser madre, mi pasión el mar; valoro y disfruto lo que tengo. Mis fallos? Uiss que lo averiguen los demás...</t>
  </si>
  <si>
    <t>maria aguila pioza l</t>
  </si>
  <si>
    <t>Pablo Iglesias y Enric Juliana presentan el libro 'Nudo España'.  vía @YouTube</t>
  </si>
  <si>
    <t>https://youtu.be/AKvI5KLJ3DA</t>
  </si>
  <si>
    <t>okdario</t>
  </si>
  <si>
    <t>Podemos repartió dulces con la cara de Pablo Iglesias durante la campaña andaluza.</t>
  </si>
  <si>
    <t>https://www.okdario.com/podemos-dulces-cara-pablo-iglesias/#.XArOCmmWxRc.twitter</t>
  </si>
  <si>
    <t>Fake news que podrías ver publicadas en cualquier panfleto español. Hemos venido a hacer la competencia a OKdiario, Mediterráneo Digital, la Gaceta, etc. (FAKE)</t>
  </si>
  <si>
    <t>Javier Arias-Borque</t>
  </si>
  <si>
    <t>Pablo Iglesias decretó el domingo la "alerta antifascista" y hoy ya han agredido a dos militantes de @vox_es en Lorca. En democracia estas cosas NO pueden ni deben ocurrir. Ni con militantes de Vox ni de ningún otro partido</t>
  </si>
  <si>
    <t>Periodista de Libertad Digital. Antes en La Razón (Madrid y País Vasco) y La Gaceta de los Negocios.</t>
  </si>
  <si>
    <t>http://www.ariasborque.com</t>
  </si>
  <si>
    <t>Carmen Gutiérrez</t>
  </si>
  <si>
    <t>No se yo, al principio corderito y ahora lobo...</t>
  </si>
  <si>
    <t>https://okdiario.com/espana/2018/12/06/pablo-iglesias-reivindica-republica-como-solucion-problemas-espana-3435080?utm_campaign=inda&amp;utm_medium=Social&amp;utm_source=Facebook#Echobox=1544102772</t>
  </si>
  <si>
    <t>Andorra</t>
  </si>
  <si>
    <t>Soy una persona que me gusta la música, la poesía, las acciones en las cuales se reivindiquen actuaciones sociales, los animales y todo propósito por mejorar...</t>
  </si>
  <si>
    <t>http://lavidaenverso.bligoo.es/</t>
  </si>
  <si>
    <t>Jaime</t>
  </si>
  <si>
    <t>MRosa_🐾🇪🇸</t>
  </si>
  <si>
    <t>Non é o mesmo chamar o Demo, que velo vir.</t>
  </si>
  <si>
    <t>maria martinez</t>
  </si>
  <si>
    <t>Jose Manuel Porras Vega</t>
  </si>
  <si>
    <t>En el extranjero pensarán, que si la gente humilde de izquierda en España, vive en chalets como el de Pablo Iglesias. Como serán las manciones de los votantes de derecha.</t>
  </si>
  <si>
    <t>Mis ganas de vivir feliz</t>
  </si>
  <si>
    <t>Pablo Iglesias: 'Me da vergüenza como español que exista VOX'  vía @MediterraneoDGT</t>
  </si>
  <si>
    <t>https://www.mediterraneodigital.com/espana/comunidad-de-madrid/pablo-iglesias-me-da-vergueenza-como-espanol-que-exista-vox.html?fbclid=IwAR2OEqXSBGNVAx2QeB4dv_cGOz0r7XQwoY_DnPng7jJopsWZzjJ7d8DV9g4</t>
  </si>
  <si>
    <t>Audiencia Debate del Estado de la Nacion 150 000 vs PABLO IGLESIAS 5 000 000 ✔️ ACCIÓN CRUCIAL, 🌏 DECLARACIÓN DE PRINCIPIOS,</t>
  </si>
  <si>
    <t>https://goo.gl/aW4iWp?fji84=594333496</t>
  </si>
  <si>
    <t>Otra Vuelta de Tuerka</t>
  </si>
  <si>
    <t>Esta semana Pablo Iglesias ha entrevistado al actor Tristán Ulloa (@TrisUlloa) en Otra Vuelta de Tuerka. Aquí el programa completo 👇🏽</t>
  </si>
  <si>
    <t>https://www.youtube.com/watch?v=hm-DNijFbYk</t>
  </si>
  <si>
    <t>Las entrevistas donde la protagonista es la invitada. Y siempre, siempre con estilo 'tuerka'. Todos los viernes a las 18:00 h. en http://www.publico.es.</t>
  </si>
  <si>
    <t>alicia lopez barea</t>
  </si>
  <si>
    <t>pablo iglesias</t>
  </si>
  <si>
    <t>FenixEstela</t>
  </si>
  <si>
    <t>A mí me da vergüenza que existan " políticos" que defiendan a asesinos y ataquen a demócratas y tengan la desfachatez de no respetar una elecciones. Pablo da vergüenza como español que exista VOX  vía @MediterraneoDGT</t>
  </si>
  <si>
    <t>Podría ceder, darme por vencida, pero entonces no sería yo. Vuelvo, con ganas. 🇪🇸🇪🇸🇪🇸</t>
  </si>
  <si>
    <t>Eva Baltar</t>
  </si>
  <si>
    <t>Fernando Salvo</t>
  </si>
  <si>
    <t>Que vergüenza ajena da Pablo Iglesias.</t>
  </si>
  <si>
    <t>Linares, Chile</t>
  </si>
  <si>
    <t>Abogado. No me gusta el divismo en tuiter. Nada de acá me lo tomo tan en serio.</t>
  </si>
  <si>
    <t>Otra Vuelta de Tuerka | Pablo Iglesias entrevista al actor Tristán Ulloa</t>
  </si>
  <si>
    <t>https://www.publico.es/publico-tv/otra-vuelta-de-tuerka/programa/728502/otra-vuelta-de-tuerka-tristan-ulloa?utm_source=twitter&amp;utm_medium=social&amp;utm_campaign=publico</t>
  </si>
  <si>
    <t>Monte Luz</t>
  </si>
  <si>
    <t>El peligroso individuo Pablo Iglesias como no encuentra ya , porque nadie se lo cree, el argumento de inconstitucional para desprestigiar a VOX. Ahora recurre al de corrupto. Espero q @Santi_ABASCAL le ponga una buena querella por calumnia RT @RIVAS_Llanera: 📽 @Pablo_Iglesias_ califica a @vox_es como la corriente FRANQUISTA del @PPopular y a su líder @Santi_ABASCAL como un corrupto, bajo la Protección de @EsperanzAguirre 🔴 PREGUNTA ⁉️ ¿ Qué es @ahorapodemos y su líder ? @Pablo_Iglesias_ en Espejo Público.</t>
  </si>
  <si>
    <t>un poco aquí un poco allá</t>
  </si>
  <si>
    <t>Soy de derechas porque soy buena persona</t>
  </si>
  <si>
    <t>Lanzarote</t>
  </si>
  <si>
    <t>Un médico malagueño vapulea a Pablo Iglesias en una carta abierta: “Busca a los fascistas en las propias sedes de Podemos”</t>
  </si>
  <si>
    <t>https://diariopatriota.com/un-medico-malagueno-vapulea-a-pablo-iglesias-en-una-carta-abierta-busca-a-los-fascistas-en-las-propias-sedes-de-podemos/</t>
  </si>
  <si>
    <t>trabajador de la construccion, Catolico practicante, Malaguista de corazon, me gusta el cine,musica clasica y la historia.</t>
  </si>
  <si>
    <t>CRUZADO D NAVARRA</t>
  </si>
  <si>
    <t>Detencion de Torra y Pablo Iglesias por incitar a la cale borroca y a apalear Españoles El CGPJ, harto de la impunidad de los ataques a jueces en Cataluña, reclama protección a Marlaska y Buch  vía @elespanolcom</t>
  </si>
  <si>
    <t>. Siempre con los cuerpos y fuerzas de seguridad del estado. Equiparación salarial ya. UMC #YoTambienSoyGuardiaCivilDeAlsasua</t>
  </si>
  <si>
    <t>Estos siempre a lo suyo, a provocar. Que buenos padrinos tiene @ahorapodemos y Pablo Iglesias en esas dos dictaduras crimínales. RT @ATodoMomento_: #Irán contempla enviar buques de guerra a Venezuela para provocar a EUA  #ATodoMomento</t>
  </si>
  <si>
    <t>https://twitter.com/atodomomento_/status/1071120911556902913
http://bit.ly/2SAXCQ4</t>
  </si>
  <si>
    <t>Marisol Tabuyo</t>
  </si>
  <si>
    <t>Ya empiezan a despertar los #votantes de #podemos. Al fin empiezan a darse cuenta de la gran mentira de Iglesias</t>
  </si>
  <si>
    <t>Madrid, España.</t>
  </si>
  <si>
    <t>https://okdiario.com/espana/2018/12/05/foros-militancia-podemos-arden-contra-iglesias-pablo-callate-haz-autocritica-3427399?utm_campaign=inda&amp;utm_medium=Social&amp;utm_source=Facebook#Echobox=1543997713</t>
  </si>
  <si>
    <t>#engineer#carreer#talent#entrepreneur#creativity #teacher#consultora#ingeniera#pseudoescritora proactiva y apasionada de la vida</t>
  </si>
  <si>
    <t>http://about.me/marisoltabuyo</t>
  </si>
  <si>
    <t>The Catalan Analyst</t>
  </si>
  <si>
    <t>https://eldebate.es/politica-de-estado/las-4-menciones-a-espana-que-podemos-borro-del-discurso-de-pablo-iglesias-tras-el-2-d-20181207/amp?__twitter_impression=true</t>
  </si>
  <si>
    <t>Barcelona, Cataluña, España, U</t>
  </si>
  <si>
    <t>Donde es posible decir lo que se quiere, nadie hace el esfuerzo de decir solo lo que importa' | N.G. Dávila</t>
  </si>
  <si>
    <t>http://catalananalyst.blogspot.com.es</t>
  </si>
  <si>
    <t>baby you're a haunted house</t>
  </si>
  <si>
    <t>pablo iglesias tiene 40 años ya es un sugar daddy</t>
  </si>
  <si>
    <t>El Reino de los Olvidados</t>
  </si>
  <si>
    <t>music nerd producer composer hago como que sé inglés se tocar el ukelele también y soy un poco pesao</t>
  </si>
  <si>
    <t>Feder Quintana Glez</t>
  </si>
  <si>
    <t>El Congreso aplaude al Rey y deja en ridículo a Pablo Iglesias  vía @CorreoDeMadrid</t>
  </si>
  <si>
    <t>Gran Ca</t>
  </si>
  <si>
    <t>POR ESPAÑA ENTERA...</t>
  </si>
  <si>
    <t>Badajoz, España</t>
  </si>
  <si>
    <t>Conviccion Madridista</t>
  </si>
  <si>
    <t>http://chng.it/k9VGcBvZ</t>
  </si>
  <si>
    <t>Mourinhista, Florentinista, devoto de la FLOR de ZZ, reniego de la posesión y de la altura del césped, aprendiz del contragafe.</t>
  </si>
  <si>
    <t>Indignados Venezuela</t>
  </si>
  <si>
    <t>La carta viral de un andaluz al chavista español Pablo Iglesias: "Cuando usted predica pobreza pero se compra un chalé, nace un fascista".@PSOE</t>
  </si>
  <si>
    <t>Gochozolano</t>
  </si>
  <si>
    <t>#YosoyAutoconvocados #TeamVene10 #TeamHP #Autoconvocados</t>
  </si>
  <si>
    <t>JC Artworth 🖤</t>
  </si>
  <si>
    <t>Después de varias llamadas recibidas del mismo número en el día de hoy he decidido finalmente cogerlo: era una mujer desconocida que preguntaba por si era Pablo Iglesias, me descojono</t>
  </si>
  <si>
    <t>Cadiz-Malaga</t>
  </si>
  <si>
    <t>Quejarse como forma de vida mientras estudio Marketing candado: @littlefingerJC</t>
  </si>
  <si>
    <t>liblan</t>
  </si>
  <si>
    <t>Pablo Iglesias. Cuando vas a dejar de hacer daño a nuestro Isis? Estás haciendo todo lo posible para q haya otra guerra civil, los de Vox q tanto te molestan no rompen escaparates como los tuyos, con lo bien q estarías en Venezuela.</t>
  </si>
  <si>
    <t>Estoy de acuerdo. Conprivilegiados como Pablo Iglesias, seguirá esto igual RT @emmanuelzl0718: Sigue siendo clave @ierrejon hoy más que nunca.</t>
  </si>
  <si>
    <t>https://twitter.com/emmanuelzl0718/status/1070736764489355264
https://twitter.com/ierrejon/status/706599980832792576</t>
  </si>
  <si>
    <t>JMMC</t>
  </si>
  <si>
    <t>Atención: se avecina el empacho Pablo Iglesias 2. Vuelve el Dr. aburrido y monótono a azotarnos hasta que sangremos para no desviarnos del pensamiento correcto.</t>
  </si>
  <si>
    <t>Abogado penalista. Entre mi deseo (Ronda) y mi realidad. Defendamos los Derechos Humanos, allá donde estemos.Mas información y contacto MD</t>
  </si>
  <si>
    <t>Paco Casanova</t>
  </si>
  <si>
    <t>#MVTCRISTINA ALMEIDA BUEN ZASCA DE CRISTINA ALMEIDA AL BABOSO DE HILARIO PP PINO EN SU OBSECION DE DIFAMAR A PABLO IGLESIAS</t>
  </si>
  <si>
    <t>Ramon Alonso</t>
  </si>
  <si>
    <t>Pablo Iglesias: “Apostamos por que la libre decisión de los pueblos construya un proyecto unido”  vía @elpais_espana</t>
  </si>
  <si>
    <t>https://elpais.com/politica/2018/11/28/actualidad/1543424221_050040.html?id_externo_rsoc=TW_CC</t>
  </si>
  <si>
    <t>jose antonio</t>
  </si>
  <si>
    <t>Jiménez Losantos Vs Pablo Iglesias:"La izquierda roba en Andalucía y ape...  vía @YouTube</t>
  </si>
  <si>
    <t>https://youtu.be/rQHHPwj8tEI</t>
  </si>
  <si>
    <t>http://derechosocultosespana.blogspot.com.es/2018/05/mientras-no-consigamos-entre-todos-ese.html</t>
  </si>
  <si>
    <t>Jaime Álvarez Buiza</t>
  </si>
  <si>
    <t>El HOY de mañana publicará mi artículo LA REPÚBLICA GUAY, sobre el republicanismo 'cool' de Pablo Iglesias.</t>
  </si>
  <si>
    <t>Badajoz</t>
  </si>
  <si>
    <t>Escéptico, ¿poeta?, articulista en HOY, chinche, agnóstico, iconoclasta instalado en la duda.... De aquí a nada cambio esto.</t>
  </si>
  <si>
    <t>http://tardedesiempre.blogpost.com</t>
  </si>
  <si>
    <t>JESUS ROJO</t>
  </si>
  <si>
    <t>La payasada casposa de Podemos: les cuelan como logo para su 'República' la marca de un salón de belleza</t>
  </si>
  <si>
    <t>http://www.periodistadigital.com/periodismo/prensa/2018/12/07/payasada-casposa-podemos-cuelan-logo-republica-marca-champu-wella-balsam-pablo-iglesias.shtml</t>
  </si>
  <si>
    <t>Economista/Auditor/MBA Jubilado/Senior SECOT.Mentor. Mis principios ética,honradez,cultura y la politica bien hecha.La socidad civil tiene que moverse.</t>
  </si>
  <si>
    <t>ALEJANDRO MARTINEZ</t>
  </si>
  <si>
    <t>Ni siquiera 1 #EXprofesor d universidad d #IzMierda💩se libra d ser pillado mintiendo como 1 bellaco:  Pablo Mármol no es solo más mentiroso y falso q Pedro Picapiedra, es1 #VIOLENTO #avengersEndGame #SomosLaAudiencia7D #ghvip7d #Avengers4 #OTDirecto7DIC</t>
  </si>
  <si>
    <t>https://okdiario.com/espana/2018/12/07/iglesias-da-razon-abascal-derecho-portar-armas-bases-democracia-3438627</t>
  </si>
  <si>
    <t>Informático, apasionado de los videojuegos, redactor y si hay suerte, pronto novelista. Nunca dejo de reinventarme y voy directo a la yugular. España (Murcia).</t>
  </si>
  <si>
    <t>“Quizá la izquierda necesita dejar de lado la épica para enamorarse de lo efectivo. Aceptar que no se acerca uno a la urna para cambiar el mundo, sino para que no le cierren el ambulatorio del barrio” Interesante este artículo de @gerardotc 👇🏼</t>
  </si>
  <si>
    <t>Lizarra</t>
  </si>
  <si>
    <t>Pablo Iglesias tiene la misma cara de reventado que un concursante expulsado de Gran Hermano...Nadie lo quiere, sus socios de en Marea andan a la gresca, porque muchos ya no quieren seguir con el, Teresa Fernandez de...</t>
  </si>
  <si>
    <t>https://www.facebook.com/lizarradj/posts/10215982965540597</t>
  </si>
  <si>
    <t>Liverpool</t>
  </si>
  <si>
    <t>Hi Welcome To My Twitter. I am an A&amp;R and Promotions Manager at Tactical Records!! http://www.tactical-records.com/</t>
  </si>
  <si>
    <t>Luis Rodriguez</t>
  </si>
  <si>
    <t>Pablo iglesias Irene Montero en la carte mandaistes a los medios de comunicascion Enseñaremos a nuestros hijos q. Sean siempre respetuosos con el@q. Piensan muy destino porque la@humanidad la@decenciay las amistad y resulta qque tú llamas a colgar alos votantes de VOX miserable</t>
  </si>
  <si>
    <t xml:space="preserve">de centro </t>
  </si>
  <si>
    <t>Identidad Navarra y Española</t>
  </si>
  <si>
    <t>Pablo Iglesias: 'Me da vergüenza como español que exista VOX  vía @MediterraneoDGT... sin comentarios... mejor no decir nada</t>
  </si>
  <si>
    <t>Berrioplano, España</t>
  </si>
  <si>
    <t>Asociación</t>
  </si>
  <si>
    <t>Raúl Julio Bator</t>
  </si>
  <si>
    <t>Pablo Iglesias: 'Me da vergüenza como español que exista VOX  vía @MediterraneoDGT.... sin comentarios ... es mejor</t>
  </si>
  <si>
    <t>Comunidad Foral de Navarra, España</t>
  </si>
  <si>
    <t>Perito Judicial Inmobiliario.Administrador de fincas .Gestor Técnico. Experto en Fiscalidad Inmobiliaria.</t>
  </si>
  <si>
    <t>Otros han puesto ,la mansion de Pablo Iglesias.Un personaje que vende pobreza,y vive como los millonarios,porque Pablo Iglesias es ,MILLONARIO... RT @Miotroyo2parte: Hoy están todos los podemitas y los separatistas alteradísimos por una fotografía de @Santi_ABASCAL besando la tumba de Franco que está corriendo como la pólvora por las redes. Es un fake como una casa, pero eso para ellos es lo de menos.</t>
  </si>
  <si>
    <t>https://twitter.com/Miotroyo2parte/status/1070994564868128769</t>
  </si>
  <si>
    <t>https://pbs.twimg.com/media/Dtzv4CuXcAA5HMu.jpg</t>
  </si>
  <si>
    <t>Y a mí me avergüenza que exista en el país la ultra izquierda podemita y gentuza como tú, Chepas, que sólo busca la destrucción económica, cultural y social de este país. Estas cagao, y buscas que tus borregos te salven el culo.</t>
  </si>
  <si>
    <t>Otra mamarrachada mas ,de Pablo Iglesias... RT @eduardoinda: Podemos usa como logo de su ‘república’ una imagen diseñada para peluquerías</t>
  </si>
  <si>
    <t>🖖Soy AutoAnónimo🇪🇸</t>
  </si>
  <si>
    <t>Cada vez que el marqués de Galapagar suelta sus perlas por su bocaza comunista VOX gana nuevos votantes. Sigan así, señor Iglesias y Ferreras. 👌 Pablo Iglesias: 'Me da vergüenza como español que exista VOX  vía @MediterraneoDGT</t>
  </si>
  <si>
    <t>Regne Valencia (Reino España)</t>
  </si>
  <si>
    <t>Autónomo Anónimo. Valencia🇪🇸España🇪🇺Europa Demócrata, anticomunista y antisocialista. Izquierda=Pobreza. #NoMosFareuCatalans</t>
  </si>
  <si>
    <t>antonio</t>
  </si>
  <si>
    <t>Moriré esperando que algún fachilla me explique porqué hablan tanto de Otegi y no de los verdaderos asesinos de ETA. ¿Será por la foto con Pablo Iglesias, o hay otro motivo que se me escapa?</t>
  </si>
  <si>
    <t>Soñar no cuesta nada, lo que cuesta es levantarse.</t>
  </si>
  <si>
    <t>*Feroz* Cruce ente Pablo Iglesias y Carlos Cuesta por *SOBREPUNIDAD* a ETA.  vía @YouTube</t>
  </si>
  <si>
    <t>https://youtu.be/vhkVr7U0QgQ</t>
  </si>
  <si>
    <t>Bertín Osborne carga contra todos, excepto Albert Rivera y Pablo Casado: "España es el país con más políticos idiotas por metro cuadrado"</t>
  </si>
  <si>
    <t>Y que Pablo Iglesias hable de Santiago Abascal de que ha chupado de subvenciones....quien ha recibido dinero de Países con que objetivo.....que lo explique........</t>
  </si>
  <si>
    <t>Daniel Conesa</t>
  </si>
  <si>
    <t>Para totalitarios como Torra o Pablo Iglesias esta gente es demócrata. Que vergüenza de políticos. RT @Schuma78: ⛔VÍDEO CENSURADO EN TV3⛔ Vecinos de Terrassa llorando por el miedo generado por la violencia de los CDR...</t>
  </si>
  <si>
    <t>https://twitter.com/schuma78/status/1070999672238587905</t>
  </si>
  <si>
    <t>Cartagena. SP | RT≠Endorsement</t>
  </si>
  <si>
    <t>Industrial #engineer at #UPCT. Graphic Designer. Athlete. Entrepreneurship. #Libertarian. #IoTDeveloper. [Personal Opinion]. G.</t>
  </si>
  <si>
    <t>Santiago Valdés</t>
  </si>
  <si>
    <t>Guaje Salvaje</t>
  </si>
  <si>
    <t>Este Belén lo prohibiría Colau, Torra, Pablo Iglesias y todos esos "constitucionalistas" a quienes las palabras España, monarquía, Constitución y democracia les provoca urticaria. Pues lo llevan claro: con los símbolos de nuestra nación no se juega.</t>
  </si>
  <si>
    <t>pic.twitter.com/wV4vr3vabV</t>
  </si>
  <si>
    <t>Ingeniero de Caminos. Me interesan las Personas, la Economía, la Música, la Filosofía y la Historia. ¡Ah! Y también las Infraestructuras (eso se me supone).</t>
  </si>
  <si>
    <t>http://www.agnio.es</t>
  </si>
  <si>
    <t>Otro miembro anónimo de la mayoría silenciosa. Un catalán no indepe que no acepta ser un ciudadano de segunda</t>
  </si>
  <si>
    <t>Llanero solitario</t>
  </si>
  <si>
    <t>http://chng.it/W6dVHjZm</t>
  </si>
  <si>
    <t>No pasa nada</t>
  </si>
  <si>
    <t>https://www.europapress.es/nacional/noticia-pablo-iglesias-critica-discurso-decepcionante-rey-ovacion-sobreactuada-juan-carlos-20181206140752.html</t>
  </si>
  <si>
    <t>Verónica G. Portillo</t>
  </si>
  <si>
    <t>Pablo Iglesias charla con el actor Tristán Ulloa en Otra Vuelta de Tuerka RT @Pablo_Iglesias_: Esta semana he tenido la oportunidad de charlar con el actor Tristán Ulloa en Otra Vuelta de Tuerka. Podréis ver el programa completo a las 18h. Aquí va un adelanto 👇🏽</t>
  </si>
  <si>
    <t>https://twitter.com/Pablo_Iglesias_/status/1071040955615195136</t>
  </si>
  <si>
    <t>Médico, articulista y editora</t>
  </si>
  <si>
    <t>Paula Churches</t>
  </si>
  <si>
    <t>El nuevo logo de Podemos es el mismo de una cadena de peluquerías</t>
  </si>
  <si>
    <t>https://ift.tt/2E95Drd</t>
  </si>
  <si>
    <t>Coletilandia</t>
  </si>
  <si>
    <t>Presentadora agitadora de masas podemitas. Modelo, actriz, ex ojo de GH.</t>
  </si>
  <si>
    <t>#ENCUESTAS TU DECIDES - ENTRA EN LA WEB - VOTA - OPINA - COMPARTE  ¡Me cago y me tiro un "peo", y en la bandurria y el güiro y me cago en los güajiros que bailan del zapateo.!</t>
  </si>
  <si>
    <t>Juan Velasco Juvela</t>
  </si>
  <si>
    <t>EL GRAN PABLO IGLESIAS NO TIENE UNA SOLA MUJER EN EL GRUPO DE CABEZA.PABLO ECHENIQUE,ERREJÓN,MANEDERO, Y</t>
  </si>
  <si>
    <t>Murcia</t>
  </si>
  <si>
    <t>Personales,pinto,sueño,escribo,medito,crítico,lloro, hago escultura,y sueño, y sueño...y hasta tengo pesadillas</t>
  </si>
  <si>
    <t>El Debate no esta en la calle, esta en los Circulos PABLO IGLESIAS es INMADURO YouTube 🔊 DemocraciaFormal, 🔊 VenezuelaLibre,</t>
  </si>
  <si>
    <t>https://goo.gl/nEe2ZV?mck14=2673282469</t>
  </si>
  <si>
    <t>Ciudadano Cake toma con Vox el antiguo barrio de Pablo Iglesias</t>
  </si>
  <si>
    <t>https://okdiario.com/espana/2018/12/05/ciudadano-cake-toma-vox-antiguo-barrio-pablo-iglesias-3430388#.XAfjkvEJ4WA.twitter</t>
  </si>
  <si>
    <t>Ricardo Miranda-Naón</t>
  </si>
  <si>
    <t>Alarma  vía @elmundoes doy menor credibilidad a Pablo Iglesias que a Bárcenas y al Bigotes juntos...</t>
  </si>
  <si>
    <t>https://www.elmundo.es/opinion/2018/12/06/5c07da4a21efa050158b4869.html</t>
  </si>
  <si>
    <t>Persona mayor.Español por decisión adulta. “Nearly all men can stand adversity, but if you want to test a man's character, give him power.” ― Abraham Lincoln</t>
  </si>
  <si>
    <t>Arena</t>
  </si>
  <si>
    <t>🔴Parece que Pablo Iglesias quiere hacer un referéndum para abolir la monarquía en España. Hace unos minutos publicó este 👇 tuit, eliminado inmediatamente después. Se ve que Felipe VI es la piedra en su zapato, pero parece que Iglesias va con prisas.</t>
  </si>
  <si>
    <t>https://pbs.twimg.com/media/Dt1WeKFWoAArz5p.jpg</t>
  </si>
  <si>
    <t>🇪🇸🇪🇺 "Mi profesión es ser libre" J.Sand. Cuando la hipocresía comienza a ser de muy mala calidad, es hora de comenzar a decir la verdad." (B. Brecht)</t>
  </si>
  <si>
    <t>#Podemos</t>
  </si>
  <si>
    <t>#Youtube Nuevo vídeo de #LaTuerka // Otra Vuelta de Tuerka - Pablo Iglesias con Tristán Ulloa</t>
  </si>
  <si>
    <t>Noticias sobre #Podemos, Pablo Iglesias y los #circulos. #UnidosPodemos Cuenta NO-Oficial</t>
  </si>
  <si>
    <t>https://podemos.info/</t>
  </si>
  <si>
    <t>SUMI.B</t>
  </si>
  <si>
    <t>El amor se descubre a través de la practica de amar y no de las palabras</t>
  </si>
  <si>
    <t>Jorge Serna</t>
  </si>
  <si>
    <t>Poco a poco, paso a paso #SeguimosLuchando y #SeguimosMejorando #LosGarres Esta vez hemos repuesto y mejorado la acera en Calle Pablo Iglesias del barrio de #LasTejeras</t>
  </si>
  <si>
    <t>https://pbs.twimg.com/media/Dt1VxvKW4AUZq9y.jpg</t>
  </si>
  <si>
    <t>Los Garres, Murcia, España.</t>
  </si>
  <si>
    <t>Presidente y Alcalde Pedaneo en @JMLosGarres de #LosGarres. Expte @feremur_carm y @JudocUMU de @umu #Publicidad #RRPP #Marketing</t>
  </si>
  <si>
    <t>http://garresylages.com</t>
  </si>
  <si>
    <t>Elias</t>
  </si>
  <si>
    <t>Los de VOX deberían dar las gracias a Pablo Iglesias y compañía, y no criticarles tanto, si han crecido no ha sido por méritos propios sino por la actuación de Podemos y la publicidad que les llevan haciendo hace tiempo.</t>
  </si>
  <si>
    <t>Ph.D. en CCAFyD, Physiotherapist, fitness trainer and a fan of @MaryseMizanin &amp; #PlanetSexy http://youtube.com/user/EliasG30</t>
  </si>
  <si>
    <t>Los Garres y Lages</t>
  </si>
  <si>
    <t>Realizada la reposición de acera en Calle Pablo Iglesias del barrio de #LasTejeras de #LosGarres debido al deterioro de la antigua acera y su bordillo! #Seguimos</t>
  </si>
  <si>
    <t>https://pbs.twimg.com/media/Dt1VJ6PXQAA6wvC.jpg</t>
  </si>
  <si>
    <t>Los Garres</t>
  </si>
  <si>
    <t>Cuenta oficial de la Junta Municipal de Los Garres y Lages. Pedanía de la Costera Sur del Municipio de Murcia #PinosYAzahar #LosGarres #ViveLosGarres #Murcia</t>
  </si>
  <si>
    <t>El Sebi</t>
  </si>
  <si>
    <t>Pidele al ayatolah un desierto y te montas allí tu propia republica y serás el presidente chepas de Pablolandia Pablo Iglesias reivindica la República como solución a los problemas de España</t>
  </si>
  <si>
    <t>https://okdiario.com/espana/2018/12/06/pablo-iglesias-reivindica-republica-como-solucion-problemas-espana-3435080#.XAq4TFv4-dI.twitter</t>
  </si>
  <si>
    <t>No te importa</t>
  </si>
  <si>
    <t>Mi locura es permanente, no tiene cura. Si te molesta lo que escribo apelo a mi libertad de expresión.</t>
  </si>
  <si>
    <t>Pamela Anderson acaba de adelantar a Pablo Iglesias con un solo tweet, para que veáis lo fácil que es RT @pamfoundation: I despise violence...but what is the violence of all these people and burned luxurious cars, compared to the structural violence of the French -and global - elites?</t>
  </si>
  <si>
    <t>https://twitter.com/pamfoundation/status/1069559265713668096</t>
  </si>
  <si>
    <t>Sta Chusta, Sevilla</t>
  </si>
  <si>
    <t>Disidente y estudiante de economía. En Twitter no soy nada imparcial. Lock: @enragedme</t>
  </si>
  <si>
    <t>http://curiouscat.me/cactusfurioso</t>
  </si>
  <si>
    <t>Joana Ripoll</t>
  </si>
  <si>
    <t>Íñigo Errejón se desmarca del frente anti VOX de Pablo Iglesias</t>
  </si>
  <si>
    <t>http://lrzn.es/bs8wd4</t>
  </si>
  <si>
    <t>Estudié medicina en Barcelona en los años del franquismo. Que ironia, parece todo un remake !.</t>
  </si>
  <si>
    <t>“Una mayoría de españoles preferiría que España fuese una república y desea, además, que se celebre un referéndum para decidirlo. Eso es lo que se desprende de la última encuesta que YouGov ha elaborado en exclusiva para El HuffPost” 👇🏼</t>
  </si>
  <si>
    <t>https://www.huffingtonpost.es/2018/12/05/el-48-de-los-espanoles-prefiere-que-espana-sea-una-republica_a_23609576/</t>
  </si>
  <si>
    <t>Mercedes Martín Vázq</t>
  </si>
  <si>
    <t>Q poca vergüenza y clase ninguna, te crees q por no aplaudir los a Reyes, te has puesto medalla y merecen escupitajo Pablo Iglesias,</t>
  </si>
  <si>
    <t>Otra Vuelta de Tuerka - Pablo Iglesias con Tristán Ulloa</t>
  </si>
  <si>
    <t>https://www.youtube.com/attribution_link?a=YVn0JGaCgpc&amp;u=%2Fwatch%3Fv%3Dhm-DNijFbYk%26feature%3Dshare</t>
  </si>
  <si>
    <t>https://youtu.be/ICizhVOw45Y</t>
  </si>
  <si>
    <t>El Correo de Madrid</t>
  </si>
  <si>
    <t>Un diario de Madrid con una clara tendencia municipalista al servicio de España. http://www.elcorreodemadrid.com</t>
  </si>
  <si>
    <t>http://www.elcorreodemadrid.com</t>
  </si>
  <si>
    <t>CentralND</t>
  </si>
  <si>
    <t>Cierran Av. Niños Héroes en VdeA, por obra del colector Pluvial: Daniel Iglesias El cierre sólo aplica a quienes se dirigen de la Diana Cazadora a la Av. Pablo Silva</t>
  </si>
  <si>
    <t>http://centralnd.com.mx/articulos/cierran-av-ninos-heroes-en-vdea-por-obra-del-colector-pluvial-iglesias</t>
  </si>
  <si>
    <t>https://pbs.twimg.com/media/Dt1TRXOUwAAwMuj.jpg</t>
  </si>
  <si>
    <t>Tu información en tiempo real.</t>
  </si>
  <si>
    <t>http://www.cndigital.mx</t>
  </si>
  <si>
    <t>PolitikMentIncorrect</t>
  </si>
  <si>
    <t>Ministerio de Justicia: Pena de prisión de 1 a 4 años para Pablo Iglesias por delito de Odio - Signez la pétition !  via @Change</t>
  </si>
  <si>
    <t>http://chng.it/WmzFM9yt</t>
  </si>
  <si>
    <t>Analyste</t>
  </si>
  <si>
    <t>https://twitter.com/voz_populi/status/1070638022801190912
https://buff.ly/2SvLKyu</t>
  </si>
  <si>
    <t>pic.twitter.com/wUKuS8oHy9</t>
  </si>
  <si>
    <t>LEALTAD</t>
  </si>
  <si>
    <t>Hilo interesante sobre la verdad que los actuales Comunistas quieren esconder a los Españoles. Esto era la República y en lo que quieren convertir España Pedro Sanchez,Pablo Iglesias y compañia</t>
  </si>
  <si>
    <t>pic.twitter.com/Oirm2tlno0</t>
  </si>
  <si>
    <t>Busca y defiende la verdad y la Justicia........El resto caerá por su peso.</t>
  </si>
  <si>
    <t>http://dlvr.it/Qt4snC</t>
  </si>
  <si>
    <t>https://pbs.twimg.com/media/Dt1Sk1vVAAANxKu.jpg</t>
  </si>
  <si>
    <t>Carlos D'Artagnan</t>
  </si>
  <si>
    <t>concepcion iglesias</t>
  </si>
  <si>
    <t>adolfo benitez reyes</t>
  </si>
  <si>
    <t>¡INCREIBLE! Pablo Iglesias APLASTA a Celia Villalobos y al gobernador de...  vía @YouTube</t>
  </si>
  <si>
    <t>https://youtu.be/VvP3CmI39aQ</t>
  </si>
  <si>
    <t>en facebook</t>
  </si>
  <si>
    <t>Josete Tordesillas</t>
  </si>
  <si>
    <t>Estoy más cansado que Pablo Iglesias recortando cogollos con THC</t>
  </si>
  <si>
    <t>Tordesillas, España</t>
  </si>
  <si>
    <t>Reservado el derecho de admisión Futuro lancero</t>
  </si>
  <si>
    <t>https://youtu.be/2Pz0zlXr1sQ</t>
  </si>
  <si>
    <t>nachcat</t>
  </si>
  <si>
    <t>Otra Vuelta de Tuerka - Pablo Iglesias con Tristán Ulloa  vía @YouTube P</t>
  </si>
  <si>
    <t>madrid</t>
  </si>
  <si>
    <t>Protección animales en Podemos Animalista🐱🏳️‍🌈</t>
  </si>
  <si>
    <t>Otra Vuelta de Tuerka - Pablo Iglesias con Tristán Ulloa  vía @YouTube F</t>
  </si>
  <si>
    <t>Parece que al Coletas ahora sí le renta políticamente utilizar la palabra España. Se puede ahorrar semejante sacrificio, no engaña a nadie.</t>
  </si>
  <si>
    <t>Otra Vuelta de Tuerka - Pablo Iglesias con Tristán Ulloa  vía @YouTube .</t>
  </si>
  <si>
    <t>Panik</t>
  </si>
  <si>
    <t>Jajajajaja estos Abasquitos se pensarán que Pablo Iglesias depende de la política como Santiago Abascal que no sabe vivir de otra cosa que de chupar del bote de lo público. RT @pegilo57: @Santi_ABASCAL Santi a ver si entre todos somos capaces de que el Chepas no pueda pagar su casoplon y se lo embargue el Banco por impago de la hipoteca. Vamos a darles la medicina comunista que tanto predican... Milloned de españoles estamos contigo. No nos defraudéis.... 🇪🇸🇪🇸</t>
  </si>
  <si>
    <t>https://twitter.com/pegilo57/status/1071051803339440129</t>
  </si>
  <si>
    <t>cansado de medios de información manipulados y derechas camufladas.</t>
  </si>
  <si>
    <t>terronesmen</t>
  </si>
  <si>
    <t>Podemos no asume el batacazo electoral del pasado domingo en las elecciones andaluzas. La pérdida de 300.000 votos ha supuesto una nueva crisis interna...</t>
  </si>
  <si>
    <t>Domador de arcontes</t>
  </si>
  <si>
    <t>http://chng.it/Xs6dnCmY</t>
  </si>
  <si>
    <t>Padre de titanes, divorciado en fase neutra, agnóstico por diferencia de parecer con the god boss, madrileño afincado en invernalia.</t>
  </si>
  <si>
    <t>Rubén Balsera</t>
  </si>
  <si>
    <t>Me ha gustado un vídeo de @YouTube ( - Errejón se desmarca de la "alerta antifascista" de Pablo Iglesias</t>
  </si>
  <si>
    <t>http://youtu.be/ujNpqraCBIg?a</t>
  </si>
  <si>
    <t>Ouuuuuuuuu Yeeeeeeeeaaaaaaaaaah!!</t>
  </si>
  <si>
    <t>http://www.youtube.com/doomknight87</t>
  </si>
  <si>
    <t>josegabriel</t>
  </si>
  <si>
    <t>Pablo Iglesias entrevista a Tristán Ulloa, quien interpreta al guardia civil en la serie Fariña. También hizo del expresidente colombiano Ernesto Samper y habla de cosas curiosas...</t>
  </si>
  <si>
    <t>https://www.publico.es/publico-tv/directo/728460/otra-vuelta-de-tuerka-7-de-diciembre-de-2018</t>
  </si>
  <si>
    <t>Ciudadano del mundo. Doctor (PhD) en Geo e Historia. Investigador. Profe.Nada humano me es ajeno. Cooperante. Proyectos de Desarrollo. Humor cáustico, dicen!</t>
  </si>
  <si>
    <t>http://elregresodejuandemairena.blogspot.com.es/</t>
  </si>
  <si>
    <t>Jota POV</t>
  </si>
  <si>
    <t>Youtuber, pantuflólogo con certificado oficial. Editor de chorradas sensatas en forma de simulación y vecino del que elige al alcalde en http://www.jotapov.com</t>
  </si>
  <si>
    <t>https://www.youtube.com/channel/UC2OPRvShCwMeO__KHVyPl9w?sub_confirmation=1</t>
  </si>
  <si>
    <t>El Diañu Burlón</t>
  </si>
  <si>
    <t>Son las huestes de Pablo Iglesias que siguen las consignas de su amado líder sin siquiera pararse a pensar, algo que por otro lado no se les da bien. RT @rubnpulido: #DiaDeLaConstitucion y banderas anticonstitucionales por Madrid. Estos 'colectivos' marcando siempre la diferencia. Dando la nota y reivindicando la imposición de sus retrógrados ideales. Algunos pensamos en el futuro y otros viven en pasado. #40AñosDeConstitución</t>
  </si>
  <si>
    <t>https://twitter.com/rubnpulido/status/1070657991756500992</t>
  </si>
  <si>
    <t>https://pbs.twimg.com/media/Dtu9oZpXcAAAUZi.jpg</t>
  </si>
  <si>
    <t>Sí porque acato los resultados de la soberanía popular manifestados constitucionalmente en las urnas, según Podemos y afines, soy un fascista. Pues sí, lo seré.</t>
  </si>
  <si>
    <t>MJ Alonso</t>
  </si>
  <si>
    <t>Pablo Iglesias es el mayor enemigo de la democracia | Baleares</t>
  </si>
  <si>
    <t>Directora comercial</t>
  </si>
  <si>
    <t>BuzoneoVox</t>
  </si>
  <si>
    <t>Pablo Iglesias se está quedando atrás con los éxitos de su familia!! RT @ElAngelFacha:</t>
  </si>
  <si>
    <t>https://twitter.com/elangelfacha/status/1071024917762768896</t>
  </si>
  <si>
    <t>https://pbs.twimg.com/media/Dt0LdTAW4AAo2PP.jpg</t>
  </si>
  <si>
    <t>Imprime y buzonea a tus vecinos. Ayuda a propagar las ideas de @vox. Mándanos tus propuestas, colabora con nosotros. Cuenta no oficial. #VoxAvanza</t>
  </si>
  <si>
    <t>Pablo Iglesias lanza un mensaje promoviendo la adopción de animales  vía @YouTube</t>
  </si>
  <si>
    <t>https://youtu.be/EI_Fe5bAJX8</t>
  </si>
  <si>
    <t>Jose Navas Pareja</t>
  </si>
  <si>
    <t>Un cocinero de paellas, un convertido al islam, faltas de ortografía... los curiosos rivales de Pablo Iglesias en Podemos</t>
  </si>
  <si>
    <t>https://ino.to/dmatU-Y</t>
  </si>
  <si>
    <t>El Tigre Rayan</t>
  </si>
  <si>
    <t>Pablo Iglesias es un vendido, a cualquier posta, con tal de perpetuarse en el poder a toda costa. RT @okdiario: Maldita hemeroteca 😏 @Pablo_Iglesias_ da la razón a @Santi_ABASCAL: “El derecho a portar armas es una de las bases de la democracia” Por @Gonzagads92 👇</t>
  </si>
  <si>
    <t>https://twitter.com/okdiario/status/1071028962330058754
https://okdiario.com/espana/2018/12/07/iglesias-da-razon-abascal-derecho-portar-armas-bases-democracia-3438627?utm_campaign=ok&amp;utm_medium=Social&amp;utm_source=Twitter#Echobox=1544187698</t>
  </si>
  <si>
    <t>Tenerife, España</t>
  </si>
  <si>
    <t>El mal no soporta el grito de la verdad.</t>
  </si>
  <si>
    <t>elVelasjillo</t>
  </si>
  <si>
    <t>http://chng.it/zPj6yXBj</t>
  </si>
  <si>
    <t>Madrid, España 🇪🇸</t>
  </si>
  <si>
    <t>Madrileño, español, liberal. Defensor del libre mercado, de pagar los menores impuestos posibles y defensor de la unidad de España 🇪🇸.</t>
  </si>
  <si>
    <t>Daniel</t>
  </si>
  <si>
    <t>http://chng.it/4ysYfH6B</t>
  </si>
  <si>
    <t>Trabajador autonomo desde lo 20 años , y desde el 2007 ,pobre,feo,calvo,gruñon y politicamente incorrecto...Despierta Sociedad</t>
  </si>
  <si>
    <t>Dolores abernathy</t>
  </si>
  <si>
    <t>Pablo Iglesias es un mastodonte un maquina el mejor pastor que puede tener un rebaño de obejas</t>
  </si>
  <si>
    <t>cotolengo</t>
  </si>
  <si>
    <t>sois ganado de opinion No me hago responsable de las opiniones aqui vertidas</t>
  </si>
  <si>
    <t>https://youtu.be/-chZu7V3NTM</t>
  </si>
  <si>
    <t>GarciaLorca95</t>
  </si>
  <si>
    <t>http://chng.it/FXmjwkKy</t>
  </si>
  <si>
    <t>daniel brown</t>
  </si>
  <si>
    <t>:-P</t>
  </si>
  <si>
    <t>Ministerio de Justicia: Pena de prisión de 1 a 4 años para Pablo Iglesias por delito de Odio - ¡Firma la petición!  #FelizFinde</t>
  </si>
  <si>
    <t>http://chng.it/7fBSGrVH</t>
  </si>
  <si>
    <t>Gab Gab</t>
  </si>
  <si>
    <t>La neta en México hay mucho analfabeta por eso ganó el Peje populista y es una verdad inobjetable; pero y España con Pablo Iglesias ? Se supone que en la península Ibérica está erradicado el analfabetismo RT @perezreverte: "Frente a una multitud analfabeta o con escasa cultura, un tirano, pero también un revolucionario, pueden lograr resultados sorprendentes. Se encuentran ante una masa homogénea que se dejará mover con sólo una palanca". (Ernst Jünger)</t>
  </si>
  <si>
    <t>CDMX - MONTERREY</t>
  </si>
  <si>
    <t>Liberal políticamente incorrecta</t>
  </si>
  <si>
    <t>Luis Lasala #VOX</t>
  </si>
  <si>
    <t>El partido de Iglesias al servicio de Irán.</t>
  </si>
  <si>
    <t>Artes plásticas. Derecho. Filosofía. Conócete a ti mismo</t>
  </si>
  <si>
    <t>http://luislasala07.blogspot.com</t>
  </si>
  <si>
    <t>Maryory Rosales</t>
  </si>
  <si>
    <t>Maki recuerda odio a Pablo Iglesias 🤣😂🤣😂🤣😂</t>
  </si>
  <si>
    <t>Maracaibo- Venezuela</t>
  </si>
  <si>
    <t>Zuliana🇻🇪</t>
  </si>
  <si>
    <t>.@Pablo_Iglesias no engañes más a tus correligionarios ni a las gentes de buena fe. El 6 de Diciembre de 1978, tu padre políticos votaron SI a la Monarquía Parlamentaria. He aquí la prueba:</t>
  </si>
  <si>
    <t>https://pbs.twimg.com/media/Dt1JK2oXgAEbgis.jpg</t>
  </si>
  <si>
    <t>TheCormental</t>
  </si>
  <si>
    <t>Cada vez mas cerca de mis objetivos ! M.J. DO IT WITH L.O.V.E.</t>
  </si>
  <si>
    <t>https://www.instagram.com/crisnpatience/</t>
  </si>
  <si>
    <t>Nur💥</t>
  </si>
  <si>
    <t>patrocinado por la coleta de Pablo Iglesias RT @JotDownSpain: Pero qué...</t>
  </si>
  <si>
    <t>https://twitter.com/JotDownSpain/status/1070992476876521472</t>
  </si>
  <si>
    <t>Lalin,Galicia,España</t>
  </si>
  <si>
    <t>🏳💙 Perezosa por naturaleza excepto por ir a ver a Miriam,Cepeda y Aitana</t>
  </si>
  <si>
    <t>Alicante, España</t>
  </si>
  <si>
    <t>CachonDog</t>
  </si>
  <si>
    <t>Por favor, ¿alguien conoce un buen fisioterapeuta que sea capaz de quitar la contractura a Pablo Iglesias?</t>
  </si>
  <si>
    <t>Sarcasmo, ironía y a veces veneno</t>
  </si>
  <si>
    <t>A este paso Pablo Iglesias sólo dejará presidir a Errejón la comunidad de vecinos!! RT @ReyesDi62171857: Errejón apuñala a Iglesias y critica su "alerta antifascista": "Más autocrítica"  vía @ESdiario_com</t>
  </si>
  <si>
    <t>https://twitter.com/reyesdi62171857/status/1071088688476631040
https://www.esdiario.com/483221721/Errejon-apunala-a-Iglesias-y-critica-su-alerta-antifascista-Mas-autocritica.html</t>
  </si>
  <si>
    <t>Ray 🎗</t>
  </si>
  <si>
    <t>Que razón tienes Pablo Iglesias</t>
  </si>
  <si>
    <t>pic.twitter.com/txy1JdZXj9</t>
  </si>
  <si>
    <t>Simplemente un ciudadano.</t>
  </si>
  <si>
    <t>Adán Portela.</t>
  </si>
  <si>
    <t>Los fachas no saben lo que es un meme. Ahora bien, para hacer y difundir un fake de Pablo Iglesias de caza estuvisteis rápidos. RT @Miotroyo2parte: Hoy están todos los podemitas y los separatistas alteradísimos por una fotografía de @Santi_ABASCAL besando la tumba de Franco que está corriendo como la pólvora por las redes. Es un fake como una casa, pero eso para ellos es lo de menos.</t>
  </si>
  <si>
    <t xml:space="preserve">Pontevedra, Galiza. </t>
  </si>
  <si>
    <t>❤️💛💜</t>
  </si>
  <si>
    <t>¡Arranca Otra Vuelta de Tuerka! Esta semana Pablo Iglesias entrevista al actor Tristán Ulloa:</t>
  </si>
  <si>
    <t>http://www.publico.es/publico-tv/directo/728460/otra-vuelta-de-tuerka-7-de-diciembre-de-2018</t>
  </si>
  <si>
    <t>Msánchez</t>
  </si>
  <si>
    <t>San Pablo de las Iglesias, el día de la Constitución, "exige una república" yo todavía no veo la diferencia entre República y Monarquía parlamentaria pero sí el número de presidentes que deberíamos pagar en su jubilación a diferencia de los monarcas por haber hecho lo mismo.</t>
  </si>
  <si>
    <t>Pablo Iglesias contrapone "el republicanismo feminista" al discurso de Felipe VI en el aniversario de la Constitución @eldiarioes  #7D #40añosdeConstitución #ReformaConstitución #MatanzaAbogadosAtocha #TratadoDeUtrech #ReinoUnido #Brexit #Gibraltar</t>
  </si>
  <si>
    <t>http://www.multiforo.eu/Noticias/2018/Diciembre/Diciembre_07.htm</t>
  </si>
  <si>
    <t>marcos gomez gallego</t>
  </si>
  <si>
    <t>Pablo Iglesias llama a la movilización antifascista para frenar a Vox</t>
  </si>
  <si>
    <t>https://www.lavanguardia.com/politica/20181203/453292105164/resultados-elecciones-andalucia-pablo-iglesias-podemos-vox-video-seo-ext.html</t>
  </si>
  <si>
    <t>Jubilado accidente laboral Afiliado del PP</t>
  </si>
  <si>
    <t>Shauqte531</t>
  </si>
  <si>
    <t>Me ha gustado un vídeo de @YouTube ( - AZNAR vuelve al congreso y DES-TRO-ZA a PABLO IGLESIAS!!!!!!!!).</t>
  </si>
  <si>
    <t>http://youtu.be/H3CtjFL26Tw?a</t>
  </si>
  <si>
    <t>España, Cádiz, San Fernando</t>
  </si>
  <si>
    <t>Jomatrader</t>
  </si>
  <si>
    <t>#DocumentalsÀpunt Muy bien, ahora haceis un documental del partido Ultra izquierda Podemos y su lider populista Pablo iglesias, a no que estos son de los vuestros perdon!!</t>
  </si>
  <si>
    <t>Interesado con el precio y volumen Wyckoff, Dax, NQ, oferta y demanda</t>
  </si>
  <si>
    <t>Daniel Estulin</t>
  </si>
  <si>
    <t>Estos son lujos. Lo de Pablo Iglesias es un trastero con bañera.</t>
  </si>
  <si>
    <t>https://pbs.twimg.com/media/Dt1BI2nXgAEbdgk.jpg</t>
  </si>
  <si>
    <t>from the Soviet Union</t>
  </si>
  <si>
    <t>Official account. #BilderbergTheMovie, 2x winner Premio Internacional de Periodismo, author 15 books. New book: In the Shadows of a Presidency.</t>
  </si>
  <si>
    <t>https://english.danielestulin.com/</t>
  </si>
  <si>
    <t>Torris Rocaniere 💪🏿🍊</t>
  </si>
  <si>
    <t>Pablo Iglesias es cagada RT @jmdelalamo: La república les ha salido a 9,50</t>
  </si>
  <si>
    <t>Rio Grande</t>
  </si>
  <si>
    <t>choose life</t>
  </si>
  <si>
    <t>Estrellado</t>
  </si>
  <si>
    <t>Lo sorprendente no es que Pablo Iglesias diga una cosa y haga la contraria, sino que haya tanto gilipollas que le siga votando.</t>
  </si>
  <si>
    <t>https://pbs.twimg.com/media/Dt0_j-lXgAYhIq-.jpg</t>
  </si>
  <si>
    <t>Waterloo, Bélgica</t>
  </si>
  <si>
    <t>Un toque de realidad para quienes, a base de demagogia e ingenuidad, han abandonado la senyera para abrazar la estrellada.</t>
  </si>
  <si>
    <t>Miguel Floriano</t>
  </si>
  <si>
    <t>Foto de familia. Poetas asturianos jóvenes. Con Xaime Martínez, Vanessa Gutierrez, Carlos Iglesias, Rodrigo Olay, Dalia Arden y Pablo Núñez.</t>
  </si>
  <si>
    <t>https://pbs.twimg.com/media/Dt0_kKGWwAAFl78.jpg</t>
  </si>
  <si>
    <t>El misterio es una invitación del alma.</t>
  </si>
  <si>
    <t>http://lujuriacritica.blogspot.com.es</t>
  </si>
  <si>
    <t>jose enrique</t>
  </si>
  <si>
    <t>Podemos: “Romperemos en pedazos el discurso de VOX, Pablo Iglesias será presidente de Gobierno”</t>
  </si>
  <si>
    <t>https://www.lasvocesdelpueblo.com/podemos-romperemos-en-pedazos-el-discurso-de-vox-pablo-iglesias-sera-presidente-de-gobierno/</t>
  </si>
  <si>
    <t>R.D.</t>
  </si>
  <si>
    <t>De nada vale quejarse... esperando la denuncia a Pablo Iglesias por parte del @PPopular por incitar al odio y convocar manifestaciones ilegales con destrozos.... @pablocasado_ RT @pablocasado_: El Gobierno tiene que frenar la kale borroka en Cataluña y poner orden, no respetan ni a los mossos cuando cumplen con su obligación. Cataluña está fuera de sí y el Gobierno de España, cómplice por inacción e incapacidad, no controla la situación.</t>
  </si>
  <si>
    <t>https://twitter.com/pablocasado_/status/1071038887114539014</t>
  </si>
  <si>
    <t>pic.twitter.com/Vs551K2eiQ</t>
  </si>
  <si>
    <t>Marga Alcaide</t>
  </si>
  <si>
    <t>“La España feminista, la España republicana, la España trabajadora, la España democrática debe estar alerta para defender las libertades que nos dejaron nuestros padres y madres, nuestros abuelos y abuelas”.</t>
  </si>
  <si>
    <t>https://eldebate.es/politica-de-estado/las-4-menciones-a-espana-que-podemos-borro-del-discurso-de-pablo-iglesias-tras-el-2-d-20181207?utm_medium=social&amp;utm_source=sacebook&amp;utm_campaign=shareweb&amp;utm_content=footer&amp;utm_origin=footer</t>
  </si>
  <si>
    <t>Si alguien busca un cubo para echar su basura procura que no sea tú mente. DalaiLama</t>
  </si>
  <si>
    <t>Dilfredo Ruiz</t>
  </si>
  <si>
    <t>Amo a mis Hijas, Emprendedor en Adriestramiento Industrial. Manufactura, calidad y diseño. http://www.dilfredoruiz.blogspot.com/</t>
  </si>
  <si>
    <t>http://www.dilfredoruiz.blogspot.com</t>
  </si>
  <si>
    <t>AmancioOrtiga</t>
  </si>
  <si>
    <t>Amante de las buenas letras y de la literatura clásica. Comunista por ideología, no por pose.</t>
  </si>
  <si>
    <t>Victoriano Urbina</t>
  </si>
  <si>
    <t>Una de las escasas veces en las que Pablo Iglesias tiene toda la razón. RT @libertaddigital: El derecho a portar armas es una de las bases de la democracia excepto si las porta alguien de VOX y además a caballo, que entonces dónde vamos a llegar en pleno 2018.</t>
  </si>
  <si>
    <t>Santander, España</t>
  </si>
  <si>
    <t>Nec spe nec metu.</t>
  </si>
  <si>
    <t>Óscar Guardingo</t>
  </si>
  <si>
    <t>He avalado a Pablo Iglesias como cabeza de lista para las primarias de PODEMOS al Congreso de los Diputados por su trabajo, confianza y lucidez. Hazlo tú también en este enlace 👉  … y difunde. 💪</t>
  </si>
  <si>
    <t>https://participa.podemos.info/avales-candidaturas-congreso-diputados-</t>
  </si>
  <si>
    <t>LH - BCN</t>
  </si>
  <si>
    <t>Senador de En Comú Podem y Podemos. Empleo, trabajo, derechos, condiciones materiales de vida. Res publica, plurinacionalidad.</t>
  </si>
  <si>
    <t>https://oscarguardingo.wordpress.com/</t>
  </si>
  <si>
    <t>TamaraLempicka4</t>
  </si>
  <si>
    <t>Normal que Pablo Iglesias y Santiago Abascal estén de acuerdo. La extremaderecha y la extrema izquierdaizquierda SON LA MISMA COSA :POPULISTAS. RT @okdiario: Maldita hemeroteca 😏 @Pablo_Iglesias_ da la razón a @Santi_ABASCAL: “El derecho a portar armas es una de las bases de la democracia” Por @Gonzagads92 👇</t>
  </si>
  <si>
    <t>La tarde de Dieter</t>
  </si>
  <si>
    <t>.@carmelojorda : "La ceguera de Pablo Iglesias y del Gobierno con ese discurso hablando de partidos fascistas es tremenda porque generan una reacción contraria a la que buscan".</t>
  </si>
  <si>
    <t>Programa de esRadio, de 16:00 a 19:00 de la tarde</t>
  </si>
  <si>
    <t>http://esradio.libertaddigital.com/es-la-tarde-de-dieter/</t>
  </si>
  <si>
    <t>Parece que Pablo Iglesias, ha dado ordenes a Ferreras para destruir a Echenique, estos no dan puntada sin hilo RT @CPU_Police: La cara que se le queda a Echenique @pnique cuando Ferreras le recuerda que Anguita también llevaba pistola no tiene precio.</t>
  </si>
  <si>
    <t>https://twitter.com/CPU_Police/status/1071070897522597890</t>
  </si>
  <si>
    <t>pic.twitter.com/nrkUifYoLr</t>
  </si>
  <si>
    <t>alex</t>
  </si>
  <si>
    <t>Mejor definición de lo que significa la "alerta antifascista" que Pablo Iglesias retuiteando a LekaconK imposible.</t>
  </si>
  <si>
    <t>Malagueño y, por lo tanto, tronista. Cinéfilo.</t>
  </si>
  <si>
    <t>Valencia, Comunidad Valenciana</t>
  </si>
  <si>
    <t>Qué echan hoy</t>
  </si>
  <si>
    <t>Toni Comín, exconsejero de la Generalitat de Catalunya, y Pablo Iglesias, secretario general de Podemos, en Els matins, el lunes, 10 de diciembre de 2018 a las 08:00</t>
  </si>
  <si>
    <t>CATERPILLAR MOTOR</t>
  </si>
  <si>
    <t>Así forma 'Cater' ante @MillosFCoficial: Juan Manuel Leyton (1) Camilo Salamanca (2) Pablo Pachón (4) Marco Canchila (28) Hugo Acosta (24) Alejandro Mena (26) Peter Zipacón (5) Carlos Rueda (7) Jair Iglesias (18) Pedro Clavijo (29) Daniel Mesa (27)</t>
  </si>
  <si>
    <t>https://pbs.twimg.com/media/Dt029wYWoAABnRi.jpg</t>
  </si>
  <si>
    <t>Bogotá - Colombia</t>
  </si>
  <si>
    <t>Fundada en 1979, es una institución que promueve el deporte apoyando la práctica del fútbol, inculcando valores dentro y fuera del campo de juego.</t>
  </si>
  <si>
    <t>http://www.clubcaterpillarmotor.com</t>
  </si>
  <si>
    <t>Raul Parra-Serva</t>
  </si>
  <si>
    <t>CARTA ABIERTA A PABLO IGLESIAS -  via @Shareaholic extraordinaria carta</t>
  </si>
  <si>
    <t>https://go.shr.lc/2Qm8YLe</t>
  </si>
  <si>
    <t>Miami</t>
  </si>
  <si>
    <t>ImpactoCNA</t>
  </si>
  <si>
    <t>CARTA ABIERTA A PABLO IGLESIAS -</t>
  </si>
  <si>
    <t>Miami, FLA</t>
  </si>
  <si>
    <t>El qué y el porqué de lo que ocurre.</t>
  </si>
  <si>
    <t>http://www.impactoCNA.com</t>
  </si>
  <si>
    <t>Progrestona🎗️🧕 ☭</t>
  </si>
  <si>
    <t>Tenemos que dar gracias a Pablo Iglesias y Susana Díaz, la afiliación a VOX se a colapsado 🤣🤣🤣🤣 mil gracias PSOE/Podemos</t>
  </si>
  <si>
    <t>Cule Podemita, Borde Progre Comunista. De la Repubica Separatista, la culpa es de Franco, Que te Calles Facha Islamofobobo. Feminazi con Burka🧕 a Tiempo Parcial</t>
  </si>
  <si>
    <t>https://www.youtube.com/channel/UCl-_iYBzcBZvjEoHp81MlUg</t>
  </si>
  <si>
    <t>María de Tabarnia 🇬🇬 🧣</t>
  </si>
  <si>
    <t>Éste es el casoplón de Pablo Iglesias e Irene Montero cuyo precio ronda el millón de euros. ¿Pagado una parte en dinero negro? Ah, y con seguridad 24 horas que le pagamos entre todos gracias a Pedrito Sánchez. #EleccionesGeneralesYA RT @HispanoVisigoda: Este tuit va dirigido a los jóvenes y jóvenas de España: Desde aquí, ver fotos, se dirigen los discursos a las hordas comunistas, nazionalistas y anarquistas de nuestro país. Nota. Hay que ser tonto y tonta para seguir la corriente de este millonario comunista.</t>
  </si>
  <si>
    <t>Visc a #Tabarnia 🇬🇬 #FreeTabarnia 🆓🇬🇬🇪🇸🇪🇺 Diputada del Parlament de Tabarnia 🧣</t>
  </si>
  <si>
    <t>Felipe Romo</t>
  </si>
  <si>
    <t>Definición gráfica de ni verlas pasar. En Francia paran la subida del carburante, Pablo Iglesias hablando de frente antifascista y Podem Terrassa llorando por 4 containers quemados. Es que no me jodas... RT @PodemTerrassa: Tristeza máxima por los actos vandálicos en #Terrassa esta tarde Esperamos que cesen este tipo de acciones violentas que no benefician a nuestra sociedad</t>
  </si>
  <si>
    <t>https://twitter.com/PodemTerrassa/status/1070797481783500800</t>
  </si>
  <si>
    <t>https://pbs.twimg.com/media/Dtw8m8oWsAMQBHw.jpg</t>
  </si>
  <si>
    <t>Sants - Les Corts 🚩 Boxa a sparringbcn 👊 Dret a la iupief 📚 De la perifèria al centre, fins la Victòria sempre ✊</t>
  </si>
  <si>
    <t>RBM - La Voz de la Axarquía</t>
  </si>
  <si>
    <t>Entrevista que realizamos en el programa El Viaje al escritor Pablo Iglesias que nos presenta su libro "Los...</t>
  </si>
  <si>
    <t>http://youtu.be/czilj5GA9ic?a</t>
  </si>
  <si>
    <t>Vélez-Málaga, España</t>
  </si>
  <si>
    <t>Radio municipal de Benamocarra que emite para toda la Axarquía desde el 107.4 FM. http://www.radiobenamocarra.es</t>
  </si>
  <si>
    <t>http://www.radiobenamocarra.es</t>
  </si>
  <si>
    <t>He añadido un vídeo a una lista de reproducción de @YouTube ( - Entrevista Pablo Iglesias | El Viaje).</t>
  </si>
  <si>
    <t>Muy bien @Pablo_Iglesias y @sanchezcastejon más que ningún trabajador.</t>
  </si>
  <si>
    <t>https://www.mediterraneodigital.com/espana/economia/los-diputados-aprueban-subirse-el-sueldo-un-2-5.html</t>
  </si>
  <si>
    <t>EL ABUELO DE PABLO IGLESIAS UN ASESINO COMUNISTA, EL PADRE UN TERRORISTA DEL FRA PERO EL LLEVA DENTRO TODAVÍA MÁS MALA OSTIA QUE LOS CITADOS</t>
  </si>
  <si>
    <t>Paulina Gamus</t>
  </si>
  <si>
    <t>CARTA ABIERTA A PABLO IGLESIAS -  via @Shareaholic</t>
  </si>
  <si>
    <t>abogada, parlamentaria de la democracia y orgullosa bisabuela.</t>
  </si>
  <si>
    <t>Raul Sanchez Flores</t>
  </si>
  <si>
    <t>Navarra: El colectivo de madres envía una carta a Pablo Iglesias y Alberto Garzón para informarles de la situación de desigualdad de las familias navarras -</t>
  </si>
  <si>
    <t>https://pamplonaactual.com/el-colectivo-de-madres-envia-una-carta-a-pablo-iglesias-y-alberto-garzon-para-informarles-de-la-situacion-de-desigualdad-de-las-familias-navarras/</t>
  </si>
  <si>
    <t>Experto en #PoliticasFamiliares. Impulsando el movimiento de #FamiliasNumerosas en Cataluña, España y Europa. La revolución de la #familia, clave del siglo 21</t>
  </si>
  <si>
    <t>http://about.me/raul.sanchez</t>
  </si>
  <si>
    <t>Hagamosle saber a este "Señor" de podemos lo que sentimos por el y por su partido.</t>
  </si>
  <si>
    <t>https://www.europapress.es/nacional/noticia-pablo-iglesias-exige-modernizar-constitucion-reivindica-republica-acto-reyes-20181206114524.html</t>
  </si>
  <si>
    <t>Jesus Ordoñez.  Fafi</t>
  </si>
  <si>
    <t>Manilva</t>
  </si>
  <si>
    <t>Trabajar, trabajar y trabajar</t>
  </si>
  <si>
    <t>http://www.interaval.es</t>
  </si>
  <si>
    <t>Sandra Incoherente</t>
  </si>
  <si>
    <t>Izquierdosa y atea. La hija que toda madre querría tener...lejos. Formo parte de la resistencia de La Cafetera.</t>
  </si>
  <si>
    <t>Juan Carlos</t>
  </si>
  <si>
    <t>Pablo Iglesias se atreve a declarar la "ALERTA ANTIFASCISTA" contra @vox_es. 🔥 Elecciones andaluzas, ¿POR QUÉ?:  Facebook:  Canal de YOUTUBE:   #alertaantifascista #EleccionesAndalucia</t>
  </si>
  <si>
    <t>https://bit.ly/2rowJmD
https://bit.ly/2B1pqa9
http://bit.ly/2N15MmB
https://youtu.be/0Pm2wF3D0ow</t>
  </si>
  <si>
    <t>Ideología NOT FOUND. Las ideologías sirven para mostrar la realidad por trozos, los trozos que a alguien le interesa que veas.</t>
  </si>
  <si>
    <t>https://bit.ly/2N15MmB</t>
  </si>
  <si>
    <t>🚨 El Gobierno de Sánchez deja sin apenas Guardia Civil a seis municipios de Madrid por vigilar la casa de Pablo Iglesias ➡  EL MISMO QUE SE EMOCIONABA CUANDO APALEABAN POLICIAS....</t>
  </si>
  <si>
    <t>http://ow.ly/tIJK30mDEqk</t>
  </si>
  <si>
    <t>El Alminar de Melilla</t>
  </si>
  <si>
    <t>Todo el mundo, incluido Pablo Iglesias, tiene derecho a decir tonterias y luego rectificar. Este asunto ya está quemado. Es agua pasada RT @EstulinDaniel: Repitoooooooo... si es su dinero y lo ganó de manera legal... tiene derecho de comprar una casa o fumarlo. No es asunto de nadie</t>
  </si>
  <si>
    <t>https://twitter.com/EstulinDaniel/status/1071060275699142657
https://twitter.com/alonso_dm/status/1071055674602340354</t>
  </si>
  <si>
    <t>Melilla, España</t>
  </si>
  <si>
    <t>Enrique Delgado. Autor de blog, colaborador de prensa local</t>
  </si>
  <si>
    <t>http://www.elalminardemelilla.com</t>
  </si>
  <si>
    <t>majohu</t>
  </si>
  <si>
    <t>La Fiscalía debe de actuar de oficio contra Pablo Iglesias por incitar al odio y a la violencia. Art. 510 del Código Penal</t>
  </si>
  <si>
    <t>Pablo Che</t>
  </si>
  <si>
    <t>GRANDE PABLO IGLESIAS en �Guilas, Murcia, Spain</t>
  </si>
  <si>
    <t>https://www.instagram.com/p/BrF096GgqQl/?utm_source=ig_twitter_share&amp;igshid=1qc4b2ffchuhf</t>
  </si>
  <si>
    <t>Luchador social, Adoptado, voluntario, seguidor de Chancho y el resto de los Barbudos.</t>
  </si>
  <si>
    <t>"Hay que respetar lo que la gente ha votado, aunque duela", piden los militantes de Podemos. Los foros de la militancia de Podemos arden contra Pablo Iglesias: "Pablo, cállate y haz autocrítica"</t>
  </si>
  <si>
    <t>Pedro J. Sánchez ✌️</t>
  </si>
  <si>
    <t>María Claver, "periodista", ha recuperado esta mañana las "declaraciones" de Pablo Iglesias hablando de "cazar fachas" y "cócteles molotov". No han tardado los palmeros incapaces de pensar por si mismos en recuperar el corte del famoso vídeo. ¡Qué patéticos sois!</t>
  </si>
  <si>
    <t>Región de Murcia, España</t>
  </si>
  <si>
    <t>Ciudadano, Funcionario. Colaboro con PODEMOS Región de Murcia para devolver la dignidad a esta Región.</t>
  </si>
  <si>
    <t>Martín Villar Rubio</t>
  </si>
  <si>
    <t>Torra en la linea de Pablo Iglesias de usar la violencia contra lo que ellos llaman la extrema derecha y velando para que la policía no lo impida.</t>
  </si>
  <si>
    <t>Nuestras vidas son los ríos, que van a dar a la mar</t>
  </si>
  <si>
    <t>Jerónimo</t>
  </si>
  <si>
    <t>Es difícil creer que él títere Pablo Iglesias y Podemos, puedan diseñar una estrategia propia. Hay que recordar que las marionetas las dirigen otros, ellos son ejecutores. RT @PhilAMellows: Creo que Pablo Iglesias y Podemos deberían revisar su estrategia hacia la Casa Real. No han entendido todavía que un gran número de republicanos están más cerca de esta monarquía que de lo que ellos representan.</t>
  </si>
  <si>
    <t>https://twitter.com/PhilAMellows/status/1070682488266260481</t>
  </si>
  <si>
    <t>Geógrafo . Exprofesor de la Armada. Ex: Subsecretario Nacional del MMSC. Sec. Nac. FVM. Luchador Social. Maturín, Edo. Monagas.</t>
  </si>
  <si>
    <t>ana maria malnati</t>
  </si>
  <si>
    <t>Pero si casas tiene de sobra Pablo Iglesias RT @Mayka41328150: @madrenovelera @Pablo_Iglesias_ Es que me supera la incoherencia fachosa más preocupados por la casa de Pablo Iglesias que porque la gente se suicide porque la van a desahuciar, ya la tontería, cualquier piso de mierda en el peor barrio cuesta mucho más de 100.000€!!! Olé por Pablo Iglesias y su casa</t>
  </si>
  <si>
    <t>https://twitter.com/Mayka41328150/status/1070758364370608128</t>
  </si>
  <si>
    <t>Alegre, lectora, amo la gente divertida. Argentina,de Boca, Peronista, Podemita , ahora vivo en Sevilla.Andalucia.</t>
  </si>
  <si>
    <t>Onofre Ferrer Riera</t>
  </si>
  <si>
    <t>El verdadero Pablo Iglesias</t>
  </si>
  <si>
    <t>https://www.youtube.com/watch?v=ovQyfpW1sYE</t>
  </si>
  <si>
    <t>Homo, pare i padri manacorí.</t>
  </si>
  <si>
    <t>Isabel</t>
  </si>
  <si>
    <t>Pablo Iglesias: “Apostamos por que la libre decisión de los pueblos construya un proyecto unido”. No sois demócratas! No lo sois! Apostamos por que los pueblos decidan libremente. Esa sería la frase @circulopodemos</t>
  </si>
  <si>
    <t>Barcelona, Catalunya</t>
  </si>
  <si>
    <t>Diu Juan Villoro, escriptor mexicà, que la identitat no és res més que una il•lusió compartida, així que estalvieu-vos de preguntar-me què diu el meu carnet.</t>
  </si>
  <si>
    <t>Cambio16</t>
  </si>
  <si>
    <t>Pablo Iglesias pide reformas a la Constitución: “Hay mucha gente que sufre el paro, hay mucha gente que no llega a fin de mes. Hay jóvenes que han tenido que emigrar, irse de su país. Digamos que a esa gente la Constitución no se le aplica”</t>
  </si>
  <si>
    <t>http://bit.ly/2QgJKxK</t>
  </si>
  <si>
    <t>https://pbs.twimg.com/media/Dt0osyMWwAEB3kB.jpg</t>
  </si>
  <si>
    <t>Cuenta oficial | Revista y Web Cambio16 | Noticias de actualidad y análisis sobre España y el mundo contadas con contundencia.</t>
  </si>
  <si>
    <t>http://www.cambio16.com</t>
  </si>
  <si>
    <t>Vicente Gómez</t>
  </si>
  <si>
    <t>No solamente Pablo Iglesias y Podemos son los culpables invitando a los radicales a salir a las calles. Los periodistas y medios de comunicación que se dedican a diario a verter basura sobre #Vox son igual de culpables que los cachorros de la extrema izq.</t>
  </si>
  <si>
    <t xml:space="preserve">Región de Murcia, España </t>
  </si>
  <si>
    <t>Nací en Cataluña cuando era libre, cuando dejó de serlo vine a Murcia. ¿Que hombre es aquel que no quiere mejorar el mundo?.</t>
  </si>
  <si>
    <t>zapeando</t>
  </si>
  <si>
    <t>La alcaldesa @ManuelaCarmena cuelga en #Instagram la receta de sus magdalenas 🧁😋 - @PPrendes: "Ojalá esto se ponga de moda y los políticos empiecen a colgar en Instagram sus recetas favoritas. Por ejemplo, la de Pablo Iglesias: el bocadillo de chopped." #zapeando1259</t>
  </si>
  <si>
    <t>https://pbs.twimg.com/media/Dt0ohDnWsAAj3PH.jpg</t>
  </si>
  <si>
    <t>Con @Frank_Blanco al frente, @NadalMiki @CristiPedroche, @ana_morgade @AnnaSimonMari y @quiquepeinado amenizan tus siestas. De L-V en @laSexta a las 15.45h.</t>
  </si>
  <si>
    <t>http://www.lasexta.com/programas/zapeando</t>
  </si>
  <si>
    <t>Libre Pensamiento</t>
  </si>
  <si>
    <t>Cuarenta años de franquismo, ¿alguna vez te has preguntado por qué sucedió?, por las actitudes que estos últimos días están tomando líderes de la izquierda. Susana Díaz, Pablo Iglesias, Pedro Sánchez, etcétera, ellos son los responsables.</t>
  </si>
  <si>
    <t>España es una gran nación, no rompamos lo que hemos conseguido estos últimos 40 años.</t>
  </si>
  <si>
    <t>Paz🌹 Guerra 🌹‏</t>
  </si>
  <si>
    <t>ORGULLOSA DE SER DE PODEMOS CADA MINUTO DEL DIA ME GUSTAN MAS YO DE PODEMOS HASTA LA MUERTE</t>
  </si>
  <si>
    <t>https://www.lasexta.com/noticias/nacional/pablo-iglesias-reivindica-la-republica-y-garzon-se-querella-contra-juan-carlos-i-el-dia-en-el-que-regresaba-al-congreso-video_201812065c0935a90cf2d96fe2fae9d9.html</t>
  </si>
  <si>
    <t>ALICANTE</t>
  </si>
  <si>
    <t>💞🍁No es mas rico el que mas tiene,es el que menos necesita💞🍁</t>
  </si>
  <si>
    <t>"No hay mejor remedio para el virus del desprecio a la Constitución q imaginar a Pablo Iglesias, Arnaldo Otegi, Pedro Sánchez y Oriol Junqueras en las sillas de Gabriel Cisneros, Miquel Roca, Gregorio Peces-Barba o Jordi Solé Tura en 1978." @crpandemonium</t>
  </si>
  <si>
    <t>https://www.elespanol.com/opinion/columnas/20181207/constitucion-quiere-podemos/358844117_13.amp.html?__twitter_impression=true</t>
  </si>
  <si>
    <t>Xity flash!</t>
  </si>
  <si>
    <t>Ostiaaa, han entrado al poder los comunistas? O Pablo Iglesias se ha presentando? La derecha, siempre ayudando al pueblo!! RT @_ju1_: Si este video donde cientos de menores de edad son humillados y vejados por miembros de la policia fuera de Cuba, estaría dando la vuelta al mundo y abriría los telediarios. Pero no, es la Francia macronista.</t>
  </si>
  <si>
    <t>https://twitter.com/_ju1_/status/1070822535686696965</t>
  </si>
  <si>
    <t>pic.twitter.com/hSU9RqIroU</t>
  </si>
  <si>
    <t>Acabare de conocerme cuando sepa quien soy. Siempre en luna llena. Enamorado del estado de embriaguez y de ti.</t>
  </si>
  <si>
    <t>http://www.voxespana.es</t>
  </si>
  <si>
    <t>Rafael Ruiz</t>
  </si>
  <si>
    <t>Entonces, señor Pablo Iglesias, cuando desde el Estado tratan de homosexualizar a tus hijos en la enseñanza, ¿qué han de hacer los padres?. En concreto ¿qué han de hacer ante su Proposición de Ley Mordaza LGTBI que fue admitido a trámite en el Congreso de los Diputados? RT @miguelruizojed1: Iglesias también citaba “Como dijo Huey P. Newton, un pueblo desarmado puede ser sometido a la esclavitud en cualquier momento”, evocaba el secretario general morado, al tiempo que zanjaba su intervención con un “Dios bendiga América”.</t>
  </si>
  <si>
    <t>https://twitter.com/miguelruizojed1/status/1071051111098974208</t>
  </si>
  <si>
    <t>Política, sociedad, economía, religión. “No extrañéis dulces amigos, que esté mi frente arrugada: yo vivo en paz con los hombres y en guerra con mi entrañas”,</t>
  </si>
  <si>
    <t>https://gritandolibertadhoy.blogspot.com</t>
  </si>
  <si>
    <t>En España no existen presos ni exiliados políticos</t>
  </si>
  <si>
    <t>Pablo Iglesias el "anti casta" anticapitalismo "forraó" a costa de quienes creen en algo así ¡Que nivelado!</t>
  </si>
  <si>
    <t xml:space="preserve"> Barcelona ( España)</t>
  </si>
  <si>
    <t>#CataluñaESEspaña @espanyacatalans #12OBcn #6DicBcn por el seny, unidad y convivencia en la comunidad 🇪🇸 de Cataluña</t>
  </si>
  <si>
    <t>https://www.facebook.com/angelmigeva/</t>
  </si>
  <si>
    <t>Manuel Eduardo Ponte</t>
  </si>
  <si>
    <t>Pablo Iglesias también suspendía en física: atribuyó a Newton la Teoría de la Relatividad Después de inventarse un libro de Kant, trasciende una charla de Pablo Iglesias en la que atribuyó a Newton la Teoría de la Relatividad de Einstein. 😂😂😂😂</t>
  </si>
  <si>
    <t>Sociólogo, Antropólogo, Etólogo y Ciencias Políticas. Estratega social media de comunicación. Analista tecnológico experto en empresa, cultura y marketing.</t>
  </si>
  <si>
    <t>http://www.manuelponte.com</t>
  </si>
  <si>
    <t>Entonces, señor Pablo Iglesias, cuando desde el Estado tratan de homosexualizar a tus hijos en la enseñanza, ¿qué han de hacer los padres?. En concreto ¿qué han de hacer ante su Proposición de Ley Mordaza LGTBI que fue admitido a trámite en el Congreso de los Diputados? RT @miguelruizojed1: .. Pablo Iglesias apostaba también por que la violencia esté “repartida” entre “el pueblo” y el Estado. “La democracia es tal si el poder está repartido y si la base del poder es la violencia, el pueblo no puede delegar el fundamento de la soberanía”, alegaba durante su monólogo</t>
  </si>
  <si>
    <t>https://twitter.com/miguelruizojed1/status/1071050654817415168</t>
  </si>
  <si>
    <t>Desde que Susana Díaz y Pablo Iglesias atacaron a VOX con lo de VIOLENCIA DE GÉNERO, los medios de comunicación principales están todos los días, FEMINISMO, FEMINISMO más FEMINISMO, que asco que España no os cree.</t>
  </si>
  <si>
    <t>freddyzur</t>
  </si>
  <si>
    <t>EL PROBLEMA DE LATINOAMERICA ES QUÉ QUIENES ELIGEN A LOS GOBERNANTES NO SON LAS PERSONAS QUE LEEN LOS PERIÓDICOS SI NO LAS QUE SE LIMPIAN EL CULO CON ELLOS.</t>
  </si>
  <si>
    <t>Yo era primero en desenmascarar a Pablo Iglesias. Me parece un cretino sucio. Pero lo de su casa no entiendo? Si robó €, meterle en la carcel. Si es suyo, xq no puede comprar lo q quiera? D donde habeis sacado q los d izda tienen la obligación d vivir en un pozo d mierda?</t>
  </si>
  <si>
    <t>Lakun</t>
  </si>
  <si>
    <t>Cada uno tenemos nuestra ideología, te podrán gustar o no Sánchez, Iglesias, Rivera...pero hay un hecho objetivo e irrefutable. Pablo Casado es el clásico tonto.</t>
  </si>
  <si>
    <t>Absorto, aplomado, constante, resuelto.</t>
  </si>
  <si>
    <t>BERLUSCRINGE</t>
  </si>
  <si>
    <t>QUE VIENE PABLO IGLESIAS</t>
  </si>
  <si>
    <t>https://pbs.twimg.com/media/Dt0h0E1XcAAsMCv.jpg</t>
  </si>
  <si>
    <t>Cipotegato,Zaragoza</t>
  </si>
  <si>
    <t>En disneyland se me metio la caca para dentro</t>
  </si>
  <si>
    <t>https://es.wikipedia.org/wiki/Kamehameha_I</t>
  </si>
  <si>
    <t>Tonho Randeeira</t>
  </si>
  <si>
    <t>GaliZa</t>
  </si>
  <si>
    <t>Indíxena galego, palanador da #LNB</t>
  </si>
  <si>
    <t>https://www.facebook.com/tonho.randeeira</t>
  </si>
  <si>
    <t>Ante las amenazas de Pablo Iglesias a VOX, Santiago Abascal advierte que les vamos a duchar y lavar a todos. Ha cundido el pánico en Podemos. Se dan de baja cienes y cienes de afiliados .</t>
  </si>
  <si>
    <t>Ana Belén Guzmán🇪🇸</t>
  </si>
  <si>
    <t>Marbella, España</t>
  </si>
  <si>
    <t>JEHOVÁ es mi pastor..... De Marbella 😎😎</t>
  </si>
  <si>
    <t>Alex el Rojo</t>
  </si>
  <si>
    <t>Politólogo, historiador y escritor, pero sólo en mi imaginación.</t>
  </si>
  <si>
    <t>Pizza Hawaianna</t>
  </si>
  <si>
    <t>Viva la peluquería republicana de Pablo Iglesias. (Tonto de manual)</t>
  </si>
  <si>
    <t>Siento que nos hayamos conocido en estos momentos tan decadentes de la historia.</t>
  </si>
  <si>
    <t>Carlos Martínez</t>
  </si>
  <si>
    <t>La sábana de la democracia es muy corta y si la estiras por la cabeza se te salen los pies por el otro. Cuánto más radicalismo por un lado, más crece el radicalismo por el otro. Ya lo decía el otro día desde Sedella un médico en una carta abierta a Pablo Iglesias. RT @MZapataDavid: Observen el rostro y los gestos de aquellos que nos llaman "fascistas" y se autodenominan "demócratas". Que cada cual saque sus propias conclusiones.</t>
  </si>
  <si>
    <t>https://twitter.com/MZapataDavid/status/1070700731198394368
https://twitter.com/Albert_Rivera/status/1070427138782826498</t>
  </si>
  <si>
    <t>TOLEDO</t>
  </si>
  <si>
    <t>Médico y Ciudadano</t>
  </si>
  <si>
    <t>Chesterton Pilsson 🤬🤫🤫🤬</t>
  </si>
  <si>
    <t>- Los antisistema destrozan las calles de Cataluña, ¿qué va a hacer el gobierno? -..#VOX son la ultraderecha y bla bla ... -Oiga, que Pablo Iglesias está instigando revueltas populares -...porque la ultraderecha.... -..que están pegando a los Mossos -..la ultraderecha... Y así.</t>
  </si>
  <si>
    <t>Madriz</t>
  </si>
  <si>
    <t>Entre iluminados profesores demagogos (cutres) y otros mamarrachos nos quieren amargar la vida. Bloqueado por los malos. NO PASARAN 📛</t>
  </si>
  <si>
    <t>J. M. Ramírez</t>
  </si>
  <si>
    <t>Véase Pablo Iglesias Turrion RT @FierabrasCorso: @perezreverte Véase España.</t>
  </si>
  <si>
    <t>https://twitter.com/FierabrasCorso/status/1071045152939106305</t>
  </si>
  <si>
    <t>Español. Defensor de Unidad nacional, de la vida, de la familia. Lector, cinefilo. Amo la música. Ligado al mundo del derecho, y, sobre todas las cosas, padre.</t>
  </si>
  <si>
    <t>Tabarnio_155 🏳️‍🌈</t>
  </si>
  <si>
    <t>Pablo Iglesias no ha sido feminista en su vida.</t>
  </si>
  <si>
    <t>#SacrificioCero #AdoptaNoCompres #AbandonoCero #StopGalgueros #NoALaCazaConGalgo 🐕🐈♻️🌊</t>
  </si>
  <si>
    <t>María José S</t>
  </si>
  <si>
    <t>Iglesias critica el discurso "decepcionante" del Rey y rechaza la ovación "sobreactuada" a Juan Carlos I</t>
  </si>
  <si>
    <t>SANLUCAR LA MAYOR</t>
  </si>
  <si>
    <t>Soy una chica entusiasta y preocupada por el bienestar social . Soy muy activa y dinamica, me encantan los nuevos retos.</t>
  </si>
  <si>
    <t>🔴 Así es el Belén que incluye desde el chalet de Pablo Iglesias, a Susana Díaz o concursantes de 'OT'</t>
  </si>
  <si>
    <t>'Nosotros hacemos política masculina, con cojones'' Pablo Iglesias RT @europapress: Iglesias dice que el feminismo es la "mejor vacuna" contra "movimientos reaccionarios", en alusión a Santiago Abascal y Vox: "¿Qué significa que alguien en 2018 se monte en un caballo y vaya con una pistola?"</t>
  </si>
  <si>
    <t>https://twitter.com/europapress/status/1070773431346585600
https://bit.ly/2G3v4NI</t>
  </si>
  <si>
    <t>https://pbs.twimg.com/media/DtwmvJtW0AA4W_2.jpg</t>
  </si>
  <si>
    <t>Micky Chakootin</t>
  </si>
  <si>
    <t>Periodismo de verdad, el más puro estilo @eduardoinda . Cómo se que mis lectores leen lo justo y ponemos de titular "Pablo Iglesias da la razón a Santiago Abascal respecto al uso de las armas"! Puta vergüenza que os llaméis periodismo. RT @okdiario: Maldita hemeroteca 😏 @Pablo_Iglesias_ da la razón a @Santi_ABASCAL: “El derecho a portar armas es una de las bases de la democracia” Por @Gonzagads92 👇</t>
  </si>
  <si>
    <t>PUBG? Overwatch? LoL? CS:GO? Wow? Mi casa es el abismo de los lamentos.</t>
  </si>
  <si>
    <t>Pablo Iglesias se desespera al quedarse solo en su "cacería" al Rey Juan Carlos:  via @YouTube</t>
  </si>
  <si>
    <t>Manu Gallardo 🇪🇸</t>
  </si>
  <si>
    <t>El ignorante afirma; el sabio duda y reflexiona (Aristóteles)</t>
  </si>
  <si>
    <t>Me ha gustado un vídeo de @YouTube ( - Pablo Iglesias se desespera al quedarse solo en su "cacería" al Rey</t>
  </si>
  <si>
    <t>http://youtu.be/ICizhVOw45Y?a</t>
  </si>
  <si>
    <t>De castro</t>
  </si>
  <si>
    <t>Compañero, eso diselo al enemigo mas grande de la democracia,que es tu socio Pablo Iglesias, y con los que vamos de la mano, los golpistas y los etarras. Pero en Andalucía ya nos a pasado factura, pronto nos pasara en España, y la culpa sera solo vuestra, por venderos. RT @abalosmeco: Gracias a la Constitución hemos disfrutado del mayor periodo de paz, libertad y progreso de nuestra historia. Cuarenta años después, los españoles no estamos llamados a construir la democracia, pero sí a defenderla y protegerla. #40AñosdeConstitución</t>
  </si>
  <si>
    <t>https://twitter.com/abalosmeco/status/1070677022702231552</t>
  </si>
  <si>
    <t>EXMILITAR DE INFANTERIA DE MARINA.ESPAÑOL, SOCIALDEMOCRATA.Nieto e hijo de presos y perseguidos por el franquismo.</t>
  </si>
  <si>
    <t>Pablo Iglesias"Si el argumento es que todo lo que hace el Rey es con la firma de un ministro, entonces que quede claro que todo lo que vimos en Arabia Saudí se hizo con el consenso de un ministro o del Gobierno."</t>
  </si>
  <si>
    <t>Responsable: Pablo Iglesias RT @AfiliadoVox_: @ldpsincomplejos También atacan la sede de @VoxZaragoza 👇👇👇</t>
  </si>
  <si>
    <t>https://twitter.com/AfiliadoVox_/status/1071002321524588544
https://twitter.com/s1moron/status/1070984350257299456?s=19</t>
  </si>
  <si>
    <t>http://youtu.be/Msk5PBxuCgE?a</t>
  </si>
  <si>
    <t>Gabriel López</t>
  </si>
  <si>
    <t>Y TODO ESTO CON 15 AGENTES HERIDOS | HILO CATALUÑA 6/12: Separatistas azuzados por mensajes de Torra y llamadas de Pablo Iglesias a las calles tras las elecciones andaluzas salen violentamente a por los que celebran el Día de la Constitución Española Los Mossos los contienen.</t>
  </si>
  <si>
    <t>https://pbs.twimg.com/media/Dt0aVwjWkAIpNls.jpg</t>
  </si>
  <si>
    <t>SÍGUEME Y TE SIGO. Pensaba quitarme el chupete esta semana pero me han puesto de mala hostia.</t>
  </si>
  <si>
    <t>http://agorafutura.wordpress.com</t>
  </si>
  <si>
    <t>Celeste Murillo</t>
  </si>
  <si>
    <t>El domingo hablamos con Pablo Semán sobre un actor político que nadie vio venir. Quiénes son esos pastores que nos hablan desde la televisión, cómo crecen las pequeñas iglesias evangélicas en los barrios populares y qué tiene que ver todo esto con la política. RT @circulorojo899: Todos hablan de los evangélicos desde el triunfo de Bolsonaro en Brasil pero, ¿conocemos a este un nuevo protagonista de la política regional? /El domingo conversamos con Pablo Seman sobre su historia y varias cosas más. #ElCírculoRojo Domingo 22 hs @radioconvos899</t>
  </si>
  <si>
    <t>https://twitter.com/circulorojo899/status/1071038888272121856</t>
  </si>
  <si>
    <t>https://pbs.twimg.com/media/Dt0U6GBX4AEy9YY.jpg</t>
  </si>
  <si>
    <t>Escribo en @izquierdadiario/ Hablo de género, cultura y cosas en @circulorojo899/ Revolution &amp; Women Liberation</t>
  </si>
  <si>
    <t>https://www.laizquierdadiario.com/Celeste-Murillo</t>
  </si>
  <si>
    <t>Después de la "alerta antifacista" ( código comunista) de Pablo Iglesias en Twitter se suceden una serie de continuas agresiones a @vox_es para amedrentar, acallar, atemorizar y provocar @circulopodemos no se conforma con la perdida y ser un mal líder RT @hermanntertsch: Atacada la sede de VOX en Zaragoza. Se suceden las agresiones comunistas obedeciendo al llamamiento de Iglesias. Solo dará mayor fuerza y contundencia a la respuesta de la España real, sensata y nacional que se dará donde más les duele a los comunistas de Podemos: en las urnas.</t>
  </si>
  <si>
    <t>Esta semana he tenido la oportunidad de charlar con el actor Tristán Ulloa en Otra Vuelta de Tuerka. Podréis ver el programa completo a las 18h. Aquí va un adelanto 👇🏽</t>
  </si>
  <si>
    <t>JUAN IGNACIO 🐔</t>
  </si>
  <si>
    <t>Pablo Iglesias da la razón a Abascal: “El derecho a portar armas es una de las bases de la democracia”  vía @okdiario</t>
  </si>
  <si>
    <t>Madrid, ES</t>
  </si>
  <si>
    <t>21 | Me gustan los números impares, las banderas, el fútbol y discutir. ¿El estado? Sobra muy mucho. Estudios Internacionales UAM.</t>
  </si>
  <si>
    <t>ShortFuse 🇻</t>
  </si>
  <si>
    <t>Desacreditas el usar corbata, te quedaría mejor el aspecto de no bañarse de Pablo Iglesias. RT @MazoDePatriota: @abc_es Pero que hay elecciones? Pero, no era una dictadura? ABC, menudo lío tenéis.</t>
  </si>
  <si>
    <t>https://twitter.com/MazoDePatriota/status/1071034845005078529</t>
  </si>
  <si>
    <t>Caracas - Venezuela</t>
  </si>
  <si>
    <t>Anticomunista en defensa propia. No se ría que esto es serio, no llore que no vale la pena, no se deprima que es peor.</t>
  </si>
  <si>
    <t>IVANNHELL 🤪</t>
  </si>
  <si>
    <t>Recupero este del anterior IVANNHELL porque fue uno de los más copiados y ahora tuvo menos éxito que Pablo Iglesias en la sede de VOX. RT @Mubrutico: -Buenas, qué desea -La paz mundial -Ya ¿y de la tienda?</t>
  </si>
  <si>
    <t>https://twitter.com/mubrutico/status/618002580317294592</t>
  </si>
  <si>
    <t>Cagando (la)</t>
  </si>
  <si>
    <t>Muy maño. Con @yaizaline</t>
  </si>
  <si>
    <t>Javi 🇪🇸</t>
  </si>
  <si>
    <t>#HuelgaAmazon Pablo Iglesias ha quitado la venta de sus libros de Amazón en protesta solidaría. ¿No?</t>
  </si>
  <si>
    <t>https://www.amazon.es/Libros-Pablo-Iglesias-Turri%C3%B3n/s?ie=UTF8&amp;page=1&amp;rh=n%3A599364031%2Cp_27%3APablo%20Iglesias%20Turri%C3%B3n</t>
  </si>
  <si>
    <t>Afiliado a VOX. Podemitas y separatas fascistas, block directo, ni me habléis.</t>
  </si>
  <si>
    <t>https://youtu.be/10GbLcvIVTQ</t>
  </si>
  <si>
    <t>José M Trigo</t>
  </si>
  <si>
    <t>Y qué hace Pedro Sánchez en la cama con Pablo Iglesias? El PSOE con inconstitucionalistas!! El Gobierno pide a PP y a Ciudadanos que no hagan de Andalucía “la cuna de la ultraderecha”</t>
  </si>
  <si>
    <t>https://elpais.com/politica/2018/12/07/actualidad/1544185491_712670.html</t>
  </si>
  <si>
    <t>Cascais, Portugal</t>
  </si>
  <si>
    <t>Viver e aprender</t>
  </si>
  <si>
    <t>http://www.premiumrate.pt</t>
  </si>
  <si>
    <t>Michel M</t>
  </si>
  <si>
    <t>Copiaran Pablo Iglesias la idea tan "democrática" de Maduro d ofrecer dinero a quienes les voten a ver si así suben algo en las municipales y autonómicas del año que viene? RT @abc_es: Maduro ofrece un pernil y tres euros a los que lo voten en las elecciones municipales del domingo</t>
  </si>
  <si>
    <t>https://twitter.com/abc_es/status/1071034090697228288
http://ver.abc.es/dd1si4</t>
  </si>
  <si>
    <t xml:space="preserve">Manchester/Madrid </t>
  </si>
  <si>
    <t>Former tax man/teacher/DJ/journalist...non pro film director/editor/writer/.., film&amp;tennis lover...a bit Jack of all trades! Civil Eng again! Always learning ;)</t>
  </si>
  <si>
    <t>Esta tarde (18h) podréis ver la entrevista que Pablo Iglesias le ha hecho al actor Tristán Ulloa en Otra Vuelta de Tuerka.</t>
  </si>
  <si>
    <t>pic.twitter.com/4aSzRmT6ek</t>
  </si>
  <si>
    <t>Yo Siempre Tengo La Razón 🇪🇸</t>
  </si>
  <si>
    <t>HILO: IMPRESIONANTE carta de SANTIAGO ABASCAL a PABLO IGLESIAS👇</t>
  </si>
  <si>
    <t>Cuenta para joaQuim Torra (Torres), el que lleva la razón siempre, el molto honorable de los indepes. VISCA CATALUNYA LLIURE DE INDEPES Y VIVA ESPAÑA 🇪🇸</t>
  </si>
  <si>
    <t>@ppapanol</t>
  </si>
  <si>
    <t>http://page.is/ppapanol</t>
  </si>
  <si>
    <t>El Capitán</t>
  </si>
  <si>
    <t>Para el próximo año Pablo Iglesias elegirá un logo de un puticlub de carretera.</t>
  </si>
  <si>
    <t>Soy como los sudamericanos del pueblo de Amanece que no es poco: ando en bicicleta y huelo bien.</t>
  </si>
  <si>
    <t>Alexandra</t>
  </si>
  <si>
    <t>Concepción 🇪🇸 #SanchezDimision</t>
  </si>
  <si>
    <t>RT todas las notícias e historia sobre Cataluña y Sanchez a la prensa extranjera. La verdad es nuestra mejor arma Nazios los bloqueo a la 1ra.</t>
  </si>
  <si>
    <t>jacint</t>
  </si>
  <si>
    <t>Una pregunta para Pablo Iglesias y seguidores. La republica se defiende mejor desde Galapagar que desde Fontarron? Mas comodo seguro</t>
  </si>
  <si>
    <t>Los foros de la militancia de Podemos arden contra Pablo Iglesias: "Pablo, cállate y haz autocrítica"  PABLETE ES ABUELISTA, Y A SU FAMILIA Y DESCENDENCIA , PARECE QUE NO LE FUÉ MAL EN LA GUERRA Y SOBRE TODO, AL ACABAR.POR ESO MANDA A OTROS ,OTRO PUIGDEMONT</t>
  </si>
  <si>
    <t>https://pbs.twimg.com/media/Dt0VDrMWoAEDArD.jpg</t>
  </si>
  <si>
    <t>M.llerena</t>
  </si>
  <si>
    <t>De esto no se habla nada en los medios sobre todo en canal sur y de la 1 a la sexta TV, porque están manipulados por la izquierda y Pablo Iglesias, así va el País.</t>
  </si>
  <si>
    <t>https://pbs.twimg.com/media/Dt0UxOFXcAUcKAg.jpg</t>
  </si>
  <si>
    <t>Responsable directo: Pablo Iglesias. RT @ldpsincomplejos: Agresión a miembros de Vox en Lorca:</t>
  </si>
  <si>
    <t>valenciaoberta</t>
  </si>
  <si>
    <t>Pablo Iglesias defendió en La Tuerka el derecho del pueblo a portar armas. Echenique, ahora, critica a Santiago Abascal, persona amenazada por ETA, por admitir el porte de un arma corta para autoprotección.</t>
  </si>
  <si>
    <t>https://www.libertaddigital.com/espana/2014-05-27/algunas-perlas-de-pablo-iglesias-1276519718/</t>
  </si>
  <si>
    <t>Información en clave constitucionalista, demócrata, valencianista y liberal. En las antípodas de los fake news del establishment.</t>
  </si>
  <si>
    <t>🇪🇸NACIONAL | El logo de Podemos para contrarrestar los actos del 40 aniversario de la Constitución (que presentó Pablo Iglesias en Twitter) pertenece a un servicio que permite su adquisición por menos de 2 euros y que está originariamente pensado para salones de belleza</t>
  </si>
  <si>
    <t>https://pbs.twimg.com/media/Dt0Tm1PW4AAzAzY.jpg</t>
  </si>
  <si>
    <t>Barcelona es elegida por el Euro­pean Institute of Innovation and Technology para ser la capital europea de la movilidad urbana. Más empleo y más empresas estratégicas invirtiendo. Barcelona vuelve a demostrar ser una ciudad atractiva y bien gestionada.</t>
  </si>
  <si>
    <t>https://www.lavanguardia.com/local/barcelona/20181207/453402120450/barcelona-capital-europea-movilidad-urbana-mobilus.html</t>
  </si>
  <si>
    <t>F.Javier Villalvilla</t>
  </si>
  <si>
    <t>Europa Press. "Iglesias critica el discurso "decepcionante" del Rey y rechaza la ovación "sobreactuada" a Juan Carlos I"  Entonces fue todo maravilloso...</t>
  </si>
  <si>
    <t>http://bit.ly/2UpofJe</t>
  </si>
  <si>
    <t>Alcalá de Henares-Madrid-SPAIN</t>
  </si>
  <si>
    <t>ADE.Comparto actualidad polític,econ,sociedad,deportes,cultura,pref cine.Me gusta el sentido común q por desgracia muchas veces es el menos común d los sentidos</t>
  </si>
  <si>
    <t>Ramón Rouco</t>
  </si>
  <si>
    <t>🔴🔴 El derecho a portar armas es una de las bases de la democracia. DIXIT Pablo Iglesias🔻🔻</t>
  </si>
  <si>
    <t>Disculpen que les llame caballeros, pero es que no les conozco muy bien.</t>
  </si>
  <si>
    <t>Diego Fernández de Herrera</t>
  </si>
  <si>
    <t>Las calles de Cataluña recuerdan a las del País Vasco ya. Y Pablo Iglesias y los suyos quieren que las calles de toda España también se parezcan a eso. Espero que no lo consigan, no debemos cruzarnos de brazos.</t>
  </si>
  <si>
    <t>Qué habremos hecho tan mal para que El Rinoceronte de Ionesco esté tan de actualidad en la España del siglo XXI...</t>
  </si>
  <si>
    <t>Omnia Veritas</t>
  </si>
  <si>
    <t>Detención inmediata de Pablo Iglesias y Quim Torra por agitar a sus masas violentas. Alguien actuará? @vox_es @Santi_ABASCAL @Ortega_Smith @monasterioR</t>
  </si>
  <si>
    <t>España  🇪🇸</t>
  </si>
  <si>
    <t>Viva la unidad de España! 🇪🇸</t>
  </si>
  <si>
    <t>UN TIO VASCO HETERO</t>
  </si>
  <si>
    <t>Por ahí vas bien majo, sigue así. Sin duda la Republica feminista es la solución.</t>
  </si>
  <si>
    <t>https://www.google.es/amp/s/www.lavanguardia.com/politica/20181207/453403244183/pablo-iglesias-republica-feminista-video-seo-ext.html%3ffacet=amp</t>
  </si>
  <si>
    <t>EUSKADI</t>
  </si>
  <si>
    <t>Que nadie te diga lo que tienes que pensar, que nadie te diga lo que tienes que hacer, que nadie te diga lo que tienes que decir.</t>
  </si>
  <si>
    <t>ÐΣЩØИļЏЩ</t>
  </si>
  <si>
    <t>Ébole no manipulando el fragmento que han enseñado en ARV sobre VOX y luego admitiendo que él cree que VOX no es un partido compuesto por fascistas y franquistas. Creo que Pablo Iglesias va a sacarle de la nómina xDD.</t>
  </si>
  <si>
    <t>Anor Londo</t>
  </si>
  <si>
    <t>Para tener un sueño hay que dormir; Yo no duermo. Tiempo parcial. #TeamPIPO. Inimputable. DEUS VULT! 501st Nova Corps. Doblador d etubos.</t>
  </si>
  <si>
    <t>https://www.twitch.tv/demoniumsama</t>
  </si>
  <si>
    <t>CORMULON3</t>
  </si>
  <si>
    <t>PABLO IGLESIAS: Por la boca muere el pez. 'NO OLVIDEN...'  vía @YouTube</t>
  </si>
  <si>
    <t>https://youtu.be/btIyaP0IMeo</t>
  </si>
  <si>
    <t>Costó una guerra librarnos de los comunistas y otra vez los tenemos aquí asomando la nariz. Espero que no nos cueste otra guerra.</t>
  </si>
  <si>
    <t>Sumiciu</t>
  </si>
  <si>
    <t>Muy moderado y democrático todo. El tema es que está empeñado en que me gusta Pablo Iglesias xD RT @raimundoabando: @sumiciu_jke Poco conoces al psicópata de Iglesias.</t>
  </si>
  <si>
    <t>https://twitter.com/raimundoabando/status/1071029027182428160</t>
  </si>
  <si>
    <t>Les Cuenques. Asturies. Europa</t>
  </si>
  <si>
    <t>Mitolóxicu, minoritariu y minorizáu. / Mythological, minority and minorized. Languages, peoples, sports and computers.</t>
  </si>
  <si>
    <t>ANTARTIDA.</t>
  </si>
  <si>
    <t>Pablo Iglesias eres el tio mas tonto de España un cobarde y un bolchevique vete fuera de España no te kermoS COBARDE QUE TE ESCONDES EN TU TU CHALE PERO NO VAS A DAR LA CARA. 🇪🇸🇪🇸</t>
  </si>
  <si>
    <t>Mi lucha hasta el final</t>
  </si>
  <si>
    <t>Andrés Zapater Gil</t>
  </si>
  <si>
    <t>Esos muchachos q se manifiestan y dicen q son anti fascista. Los fascistas son ello q no reconocen un partido elegido por los ciudadanos . Son fascistas y cobardes q no enseñan la cara . Hijos mal nacidos , rojos fascistas , cachorros de Podemos q obedecen a Pablo Iglesias.</t>
  </si>
  <si>
    <t>he sido empresario y ahora pensionado.</t>
  </si>
  <si>
    <t>Maria</t>
  </si>
  <si>
    <t>Que le den la pastilla de ubicaina a cristina almeida que le hace falta con urgencia, el que ha movilizado a toda la ultra izda ha sido pablo iglesias, solo hay que ver sus declaraciones al ver los resultados andaluces 😡 #yaesmediodia122</t>
  </si>
  <si>
    <t>Te puede gustar o no lo que yo opine, es mi opinión, y estoy empezando a estar harta del pensamiento único cuando no estas de acuerdo con algo 😡</t>
  </si>
  <si>
    <t>Ostras Pedrín</t>
  </si>
  <si>
    <t>Pablo Iglesias es el elegido RT @Shmtnk: Hay que alejar el frikismo de las filas del Partido Comunista. Por favor, basta ya.</t>
  </si>
  <si>
    <t>https://twitter.com/Shmtnk/status/1071028593264873472</t>
  </si>
  <si>
    <t>Llorando en la candado</t>
  </si>
  <si>
    <t>LG[B]T. Stalinista comeniños. Machista-leninista por la gracia de Twitter. Que no me sigan putos podemitas. Insurgente desde el vientre. @PedrinEnfadao</t>
  </si>
  <si>
    <t>Luis del Pino</t>
  </si>
  <si>
    <t>Pedro Sánchez sigue la estela de Pablo Iglesias y trata de señalar a un enemigo exterior para cortar las críticas internas #nihilnovumsubsole</t>
  </si>
  <si>
    <t>https://www.libertaddigital.com/espana/2018-12-07/mitin-contra-vox-de-celaa-desde-moncloa-da-instrucciones-a-pp-y-cs-para-que-no-pacten-con-ellos-1276629533/</t>
  </si>
  <si>
    <t>Director del programa de tertulia política Sin Complejos en http://esradio.libertaddigital.com/</t>
  </si>
  <si>
    <t>http://blogs.libertaddigital.com/enigmas-del-11-m/</t>
  </si>
  <si>
    <t>Pablo Iglesias imagino que estará encantado de la vida al ver a su ejército podemita hambriento y sediento de sangre fascista. RT @okdiario: ▶️ #VÍDEO El podemita que dice que va a salir a “matar fascistas” se fotografía con @TeresaRodr_ Toda la información 👉</t>
  </si>
  <si>
    <t>https://twitter.com/okdiario/status/1071026544007475200
https://okdiario.com/espana/andalucia/2018/12/07/podemita-que-dice-que-va-salir-matar-fascistas-fotografia-teresa-rodriguez-3437549</t>
  </si>
  <si>
    <t>pic.twitter.com/WRzctxicD1</t>
  </si>
  <si>
    <t>Gracias juez Llarena ,yo estoy contigo .Abulense ,liberal ,demócrata y anti comunista .</t>
  </si>
  <si>
    <t>Jorge Luna</t>
  </si>
  <si>
    <t>A ver, que has votado a un subnormal que va con una pistola por la vida, no me vengas con que Pablo Iglesias te da miedo porque pareces gilipollas.</t>
  </si>
  <si>
    <t>Al final compenso.</t>
  </si>
  <si>
    <t>©️ Alfonso Silóniz</t>
  </si>
  <si>
    <t>Veo un problema grave que pablo Iglesias asocie la Republica a una ideología. Ese error ya se cometió hace unos cuantos años.</t>
  </si>
  <si>
    <t>Cádiz</t>
  </si>
  <si>
    <t>Co-Founder de 2 niños maravillosos (♀ y ♂). Consultor. CDN. Studying Big Data &amp; Machine Learning. Limpiando el Timeline.</t>
  </si>
  <si>
    <t>http://about.me/alfonsosiloniz</t>
  </si>
  <si>
    <t>Gipsy</t>
  </si>
  <si>
    <t>Muy escorado a la izquierda, no puedo evitarlo.</t>
  </si>
  <si>
    <t>Emilio Alcívar</t>
  </si>
  <si>
    <t>En Nuestra Plaza: Enseñaremos a nuestros hijos que sean siempre respetuosos con el que piensa distinto porque la humanidad, la decencia y la amistad no son el patrimonio exclusivo de ninguna causa”… (Pablo Iglesias e Irene Montero)</t>
  </si>
  <si>
    <t>https://ift.tt/2PmAToF</t>
  </si>
  <si>
    <t>I added a video to a @YouTube playlist  Pablo Iglesias cierra la Jornada 'España: Feminismo, República y</t>
  </si>
  <si>
    <t>http://youtu.be/Ld1I7iqsiIg?a</t>
  </si>
  <si>
    <t>Juanky yo soy JUSAPOL</t>
  </si>
  <si>
    <t>https://okdiario.com/espana/2018/12/05/ciudadano-cake-toma-vox-antiguo-barrio-pablo-iglesias-3430388#.XApuYMWYKEl.twitter</t>
  </si>
  <si>
    <t>⛔Barreiros⛔</t>
  </si>
  <si>
    <t>#TiempodePactosARV Pablo Iglesias(El Mesías de #Podemos) EMOCIONADO AL VER COMO AGREDEN A UN POLICÍA, ÉSTE no es peligroso,es demócrata y no es un dictador de ultra izquierda, pero en cambio @vox_es es la peste, el fascismo y la ultraderecha.</t>
  </si>
  <si>
    <t>https://twitter.com/SheloNoShel/status/1071021180742701058/video/1</t>
  </si>
  <si>
    <t>⛔Soy el antisistema de los antisistema⛔</t>
  </si>
  <si>
    <t>Jairo</t>
  </si>
  <si>
    <t>Cuidado alerta antifascista, no está de acuerdo con los resultados democráticos, y entonces alerta antifascista... pero la gente lo ha votado eso. ALERTA ANTICHAVISTA</t>
  </si>
  <si>
    <t>https://eldebate.es/politica-de-estado/las-4-menciones-a-espana-que-podemos-borro-del-discurso-de-pablo-iglesias-tras-el-2-d-20181207/amp</t>
  </si>
  <si>
    <t>#MAGA #QANON #QANONESPAÑA</t>
  </si>
  <si>
    <t>... Me gustaría que Pablo Iglesias o alguno de los suyos me explicara las ventajas de una republica frente a la monarquía que tenemos en España.</t>
  </si>
  <si>
    <t>El Pingu 🤔</t>
  </si>
  <si>
    <t>No pasa nada, seguro q el lunes cuando vuelva del puente, Pablo Iglesias decreta de nuevo la alerta antifascista y tenemos un montón de manifestaciones RT @arturelpayaso2: Radicales independentistas, los amigos de Quim Torra y Puigdemont, agreden salvajemente a Álvaro de Marichalar, quien tuvo que huir para no ser linchado. Cataluña está en guerra, y quien no lo vea, que se lo haga mirar.</t>
  </si>
  <si>
    <t>SEVILLA F.C.</t>
  </si>
  <si>
    <t>Cuenta creada para alabar la figura del Mudo Vázquez y, de vez en cuando, hablar de otros temas de menor importancia.</t>
  </si>
  <si>
    <t>El Antiintermedio</t>
  </si>
  <si>
    <t>Santi Abascal ha vivido siempre del dinero público, no como Casado, Pedro Sánchez y Pablo Iglesias, que eran consultores en McKinsey.</t>
  </si>
  <si>
    <t>En una época en la que los HDLGP van de buenos, toca ser el malo. Y no pasa nada.</t>
  </si>
  <si>
    <t>Fermat Voltaire</t>
  </si>
  <si>
    <t>Cuanto más escucho a Julio Anguita más pequeños me parecen Pablo Iglesias, Errejón y Monedero</t>
  </si>
  <si>
    <t>________________________________________________________________________________________________________________________________________________________________</t>
  </si>
  <si>
    <t>El mejor activista de Vox es Pablo Iglesias. Cada vez que habla salen nuevos votantes de Vox</t>
  </si>
  <si>
    <t>.Park.</t>
  </si>
  <si>
    <t>No como la del musulman agrediendo a una enfermera, ni la de pablo iglesias con un rifle de caza, esas son completamente verdad RT @Miotroyo2parte: Hoy están todos los podemitas y los separatistas alteradísimos por una fotografía de @Santi_ABASCAL besando la tumba de Franco que está corriendo como la pólvora por las redes. Es un fake como una casa, pero eso para ellos es lo de menos.</t>
  </si>
  <si>
    <t>All these social networks, and these Twitters...</t>
  </si>
  <si>
    <t>David Gonzalez</t>
  </si>
  <si>
    <t>Acabo de ver un tweet que decia que Pablo iglesias era el mejor político de la democracia española, estoy llorando de la risa</t>
  </si>
  <si>
    <t>Vigo, Spain</t>
  </si>
  <si>
    <t>Programador e intento de emprendedor IES.Coruxo</t>
  </si>
  <si>
    <t>https://www.instagram.com/ddgonz_/?hl=es%27</t>
  </si>
  <si>
    <t>Dice Iglesias: "Queremos una España democrática y feminista". Seguro que sí, Pablo. Y "con un par" que lo has dejado clarísimo: "Podemos hace política masculina, con oj*ones". 🔴🎥 EN EL HILO👇 RT @Pablo_Iglesias_: Queremos una España democrática y feminista, que quiere para su gente un futuro de justicia social y fraternidad. Un país en igualdad que respete, escuche y proteja. 40 años después, hacer nuestra democracia mejor es hacer república.</t>
  </si>
  <si>
    <t>Andaluz</t>
  </si>
  <si>
    <t>Pablo Iglesias exige "modernizar" la Constitución y reivindica la República como solución a los desafíos</t>
  </si>
  <si>
    <t>no hay mayor idiota que el obrero patriota del estado que lo explota.</t>
  </si>
  <si>
    <t>Pablo Hasel</t>
  </si>
  <si>
    <t>Pablo Iglesias habla de frente antifascista mientras sube el sueldo a los cuerpos represivos, acude a la fiesta del periódico fascista La Razón y dice que Rajoy se ganó su respeto. A estas alturas creer a semejante farsante conociendo esto, es no estar en la misma trinchera.</t>
  </si>
  <si>
    <t>Contacto: hasel_11s@hotmail.com</t>
  </si>
  <si>
    <t>http://www.youtube.com/user/PabloHaselOficial</t>
  </si>
  <si>
    <t>Series y tenis</t>
  </si>
  <si>
    <t>Series de las buenas y tenis del que no aburre</t>
  </si>
  <si>
    <t>SEBASTIANA GONZALEZ</t>
  </si>
  <si>
    <t>LA MALDAD ES GRANDE EN ESTOS COMUNISTAS QUE QUIEREN APODERARSE DE ESPAñA BAJO LAS ORDENES DE LOS ASESINOS CASTROS POR MEDIO DEL TÍTERE COMUNISTA ESPAñOL PABLO IGLESIAS QUE DEBERÍA ESTAR PRESO Mitin...</t>
  </si>
  <si>
    <t>https://www.facebook.com/marisolsebastiana/posts/10210567166250513</t>
  </si>
  <si>
    <t>HINOJOS</t>
  </si>
  <si>
    <t>En España</t>
  </si>
  <si>
    <t>He vivido intensamente 78 años dedicados a mi familia y a mi país y sigo con la intención de disfrutar de lo mismo.</t>
  </si>
  <si>
    <t>Keats</t>
  </si>
  <si>
    <t>Pablo Iglesias azotaría a una mujer “hasta que sangrase” pero siempre vistiéndose para la ocasión. Un tutú nunca falla. Este es el feminista y el que se pronuncia en contra de los machirulos babosos. #FelizFinde</t>
  </si>
  <si>
    <t>https://pbs.twimg.com/media/Dt0JSbKWsAErs0y.jpg</t>
  </si>
  <si>
    <t>Abogado y economista. Oposito a Abogacía del Estado. Feel free para insultarme como argumento pero dejo de contestar cuando insultáis. Discuto sólo con respeto</t>
  </si>
  <si>
    <t>https://blogjkeats.wordpress.com/</t>
  </si>
  <si>
    <t>Ernesto 🇪🇸</t>
  </si>
  <si>
    <t>"La arrogancia antecede a la caida". Proverbios 16:18. Pedro Sánchez y Pablo Iglesias. No sois muy de Proverbios, pero ataros los machos</t>
  </si>
  <si>
    <t>Miembro de la S.E.I.P.C, Analista Observatorio sobre el terrorismo internacional y las nuevas amenazas. Esp Com no verbal Ejecutiva de Cs Alicante Gran Via Sur</t>
  </si>
  <si>
    <t>Mac-leiras</t>
  </si>
  <si>
    <t>El supremacista torra quiere impedir que los mossos defiendan la ley y al ciudadano, pero que le defiendan a el. El siempre con su escolta. Otro como pablo iglesias, rajando contra el estado, pero con la GC a la puerta de su chalet</t>
  </si>
  <si>
    <t>A Coruña</t>
  </si>
  <si>
    <t>Galego por nación, Español por historia, Europeo por cultura.</t>
  </si>
  <si>
    <t>⭐CAT2222⭐</t>
  </si>
  <si>
    <t>Será feminista o no serà. Pablo Iglesias contrapone "el republicanismo feminista" al discurso de Felipe VI en el aniversario de la Constitución  vía @eldiarioes</t>
  </si>
  <si>
    <t>https://m.eldiario.es/_32458238</t>
  </si>
  <si>
    <t>En algun lugar</t>
  </si>
  <si>
    <t>REBELDE-ROCK🎸❤💛💜-POESIA🌹-MUSICA🎹 NO AL MALTRATO-ANIMALISTA🐃 🎗️ PODEMOS 💜</t>
  </si>
  <si>
    <t>Esta es la catadura moral de Pablo Iglesias. Un tipo sin escrúpulos, un totalitario lleno de odio, una mala persona. RT @infiltradoxxx: Cuando el Rey supo del problema de los hijos de los Iglesias-Montero les llamo para preocuparse por su estado, hoy Pablo Iglesias le ha negado el saludo, poco más que añadir.</t>
  </si>
  <si>
    <t>RichieGz</t>
  </si>
  <si>
    <t>A todos los podemitas, socialistas y amigotes de Pablo Iglesias y Pedro Sanchez recordarles que la gentuza que escribió esta carta son los mismos con los que ahora nuestro gobierno de “usurpadores”...</t>
  </si>
  <si>
    <t>https://www.facebook.com/story.php?story_fbid=10155607907951199&amp;id=510371198</t>
  </si>
  <si>
    <t>Madrid / Miami</t>
  </si>
  <si>
    <t>Just me!!!</t>
  </si>
  <si>
    <t>http://www.facebook.com/richiegz</t>
  </si>
  <si>
    <t>Pablo Iglesias se desespera al quedarse solo en su "cacería" al Rey Juan Carlos vía 🌍 2NE ORGANIZAR LA VALENTIA, IMPOTENCIA MONÁRQUICA, LA SOCIEDAD FAMILIAR, Dejar un comentario, PRINCIPIO DE MEDIACIÓN, LaNaciónEs, IMPOTENCIA MONÁRQUICA,</t>
  </si>
  <si>
    <t>Radio Sport Djs</t>
  </si>
  <si>
    <t>El comunista Anguita: "Si es honrado y los otros son unos ladrones, ¡votad al de la extrema derecha!"  ESTE SR DICE UNA COSA SENSATA, PERO NO ENTIENDO COMO LUEGO APOYA A PABLO IGLESIAS.</t>
  </si>
  <si>
    <t>https://okdiario.com/espana/2018/12/06/comunista-anguita-si-honrado-otros-son-unos-ladrones-votad-extrema-derecha-3431940#.XApqAfFFNXU.twitter</t>
  </si>
  <si>
    <t>https://twitter.com/ierrejon/status/1070364901141594112</t>
  </si>
  <si>
    <t>pic.twitter.com/vuWBgcZKKG</t>
  </si>
  <si>
    <t>Radio Deportiva y Djs para todos los amantes de la fiesta y el deporte</t>
  </si>
  <si>
    <t>http://www.radiosportdjs.com</t>
  </si>
  <si>
    <t>maria🎗</t>
  </si>
  <si>
    <t>kike  🇪🇸</t>
  </si>
  <si>
    <t>Joder Abascal y la ultraderecha quemando las calles, que miedo da VOX!! Ah no espera... que son los pacíficos constitucionales que respetan lo votado y alentados por Pablo Iglesias, un hombre de paz, na, chiquilladas.</t>
  </si>
  <si>
    <t>Tengo 4 cuentas bloqueadas. Madrileño y Español, antiperroflautas, antipodemitas, Viva España!</t>
  </si>
  <si>
    <t>A. Martín del Pozo</t>
  </si>
  <si>
    <t>Las peticiones de los #GiletsJaunes parecen el fruto de una noche de farra de Pablo Iglesias y Abascal.</t>
  </si>
  <si>
    <t>Ávila/Madrid</t>
  </si>
  <si>
    <t>Vulgus veritatis pessimus interpres</t>
  </si>
  <si>
    <t>Pablo Iglesias se desespera al quedarse solo en su "cacería" al Rey Juan Carlos - vía @ESdiario_com- Pues.....¡ajo y agua!.</t>
  </si>
  <si>
    <t>El pensamiento liberal se fundamenta en el reconocimiento y garantía de los derechos individuales.</t>
  </si>
  <si>
    <t>@Ana Ante LaNoche</t>
  </si>
  <si>
    <t>OJO!! CON ENTIDADES DIGITALES COMO ESTA Y 📺@publico_es A CIENTOS, EXPANDIENDO NOTICIAS FALSAS SOBRE ACUERDOS EN #Andalucia Si Casado excluye a Vox, si Cs reniega de Casado, Si Moreno, dice que no quiere el apoyo de Vox, Si PABLO 👇IGLESIAS junto a Escolar en 2011 ¿me fundo?SI RT @Diari_Public: "La menstruació no és el problema. El problema és qui menstrua en aquesta societat" Parlem amb Erika Irusta, creadora d' @elcaminorubi, un projecte des d'on desgrana els estudis clínics sobre la menstruació per apropar-los al gran públic. Per @QC_Cerezuela</t>
  </si>
  <si>
    <t>https://twitter.com/Diari_Public/status/1070944246943772673
https://www.publico.es/public/tabu-menstrual-continua-corrent-per-les-nostres-calces.html</t>
  </si>
  <si>
    <t>Málaga-España</t>
  </si>
  <si>
    <t>¿Quién serás esta noche,nostalgia de arrugas en el alma,para los que desprecian terrores y años vividos?Pajaro en el oscuro sueño, de tantas madrugadas</t>
  </si>
  <si>
    <t>Pablo Iglesias se desespera al quedarse solo en su "cacería" al Rey Juan Carlos vía 📢 7GZ LIBERTAD FUNDACIONAL, Flujo, ADVERTENCIA SOBRE LA LIBERTAD, Insumisión, CORRUPCIÓN JUDICIAL, INICIATIVAS REPUBLICANAS, REINO DEL OPORTUNISMO,</t>
  </si>
  <si>
    <t>Zibelina 🇪🇸 🇪🇺 🌎</t>
  </si>
  <si>
    <t>La payasada casposa de Podemos: les cuelan como logo para su 'República' la marca de un salón de belleza | Periodista Digital</t>
  </si>
  <si>
    <t>https://www.periodistadigital.com/periodismo/prensa/2018/12/07/payasada-casposa-podemos-cuelan-logo-republica-marca-champu-wella-balsam-pablo-iglesias.shtml</t>
  </si>
  <si>
    <t>Mundo, Europa, España</t>
  </si>
  <si>
    <t>Ciudadana demócrata no nacionalista interesada por la informacion mundial, defensora de la cultura humanista y lectora permanente. No sigo cuentas protegidas</t>
  </si>
  <si>
    <t>¡Échate a dormir @Pablo_Iglesias! 😆😆😆😆 Podemos no reconocerá la “Constitución” hasta que “España sea una República”</t>
  </si>
  <si>
    <t>https://www.lasvocesdelpueblo.com/podemos-no-reconocera-la-constitucion-hasta-que-espana-sea-una-republica-feminista/?fbclid=IwAR3YoW6NltiiyaxluKJmz30qluDfb0lRFv9jtcCgsqnYCZZQ8PlVHIAvRL0</t>
  </si>
  <si>
    <t>Carlos Carrillo</t>
  </si>
  <si>
    <t>¿Qué pasó con estas ideas? con ser más austeros y gastar menos para que haya más. Ahhh, el siguiente paso fue la mansión de Pablo Iglesias e Irene Montero. Han mentido, Andalucía no les cree, no han podido engañarles! RT @Jose_Tomba: @pnique DE - MA - GO - GO PRO - PA - GAN - DIS - TA MA - NI - PU - LA - DOR FAL - SO</t>
  </si>
  <si>
    <t>https://twitter.com/Jose_Tomba/status/1070809577841668096</t>
  </si>
  <si>
    <t>pic.twitter.com/G9GRLVizfj</t>
  </si>
  <si>
    <t>Panama</t>
  </si>
  <si>
    <t>Abogado por convicción propia. Creyente en los derechos humanos. Aficionado a la musica y al fútbol.</t>
  </si>
  <si>
    <t>Pablo iglesias y Torra instigan el odio y las algaradas. Donde esta el fiscal?</t>
  </si>
  <si>
    <t>https://www.esdiario.com/781025410/Pablo-Iglesias-se-desespera-al-quedarse-solo-en-su-caceria-al-Rey-Juan-Carlos.html?utm_source=boletin&amp;utm_medium=mail&amp;utm_campaign=boletin&amp;origin=newsletter&amp;id=19&amp;tipo=3&amp;identificador=781025410&amp;id_boletin=613406069&amp;cod_suscriptor=256000484</t>
  </si>
  <si>
    <t>Es decir que un asesinato, claramente por una percepcion ideologica, para ti es, .."esto paso en verano... deja de enmierdar? El asesinato de un hombre por llevar colores dela bandera de España, por alguien apoyado por Ada Colau y Pablo Iglesias es Vanal?te voy a emarcar el twit. RT @michaeldudikof3: @OrbitaEduardo @capadociados Esto fue en verano o asi... Deja de "enmierdar" aprovechando la situación política problemática xD</t>
  </si>
  <si>
    <t>https://twitter.com/michaeldudikof3/status/1070983418199097344</t>
  </si>
  <si>
    <t>Jose Antonio Muñoz</t>
  </si>
  <si>
    <t>Espero que la fiscalía tome cartas en este asunto y a pablo iglesias le dé su merecido por incitar a todas estas barbaries RT @Schuma78: ⛔VÍDEO CENSURADO EN TV3⛔ Vecinos de Terrassa llorando por el miedo generado por la violencia de los CDR...</t>
  </si>
  <si>
    <t>PREGUNTO: POR QUÉ PODEMOS ES MENOS FASCISTA QUE VOX? VOY A VOTAR A PABLO PARA QUE VEAMOS ESE PROGRESO. ESPAÑOLES LIBRES VOTEMOS A PABLO IGLESIAS POR TENER ESE APELLIDO INMERECIDO Y CULPABLE.</t>
  </si>
  <si>
    <t>САЛЬВАДОР 🇸🇾</t>
  </si>
  <si>
    <t>Abascal en Ana Rosa, Abascal en Salvados,... Como se parece este tour al de Pablo Iglesias en sus inicios. La maquinaria mediática del capital lo mismo te promociona un rojo-bolivariano-extremoizquierdista que un facha-racista-nacional-catolico-extremo-derecha, según convenga</t>
  </si>
  <si>
    <t>Mollet del Vallès (Barcelona)</t>
  </si>
  <si>
    <t>Marxismo-leninismo</t>
  </si>
  <si>
    <t>Francisco Plaza Pastor</t>
  </si>
  <si>
    <t>Pablo Iglesias se desespera al quedarse solo en su "cacería" al Rey Juan Carlos vía 🌎 ER0 PENTECOSTÉS POLÍTICO, JORNADA DE REFLEXIÓN, Agitación, SOCIEDAD FEMINISTA, SOCIEDAD LABORAL, LIBERACIÓN, MODO DE SER REPUBLICANO, MODO DE SER REPUBLICANO,</t>
  </si>
  <si>
    <t>Pablo Iglesias: “Apostamos por que la libre decisión de los pueblos construya un proyecto unido”</t>
  </si>
  <si>
    <t>https://elpais.com/politica/2018/11/28/actualidad/1543424221_050040.html?id_externo_rsoc=FB_CC</t>
  </si>
  <si>
    <t>Cardenal Cisneros</t>
  </si>
  <si>
    <t>#TiempodePactosARV Y pensar que de todo lo bueno del 15M sólo nos ha quedado Pablo Iglesias...</t>
  </si>
  <si>
    <t>fina vidal</t>
  </si>
  <si>
    <t>Casi viviente</t>
  </si>
  <si>
    <t>Podemos Arteixo</t>
  </si>
  <si>
    <t>Pablo Iglesias: "De nuevo no tienen nada. Vienen del PP"</t>
  </si>
  <si>
    <t>https://www.facebook.com/podemosarteixo/videos/311668159684020/</t>
  </si>
  <si>
    <t>Arteixo</t>
  </si>
  <si>
    <t>Mail:podemosarteixo@hotmail.com Facebook: https://www.facebook.com/podemosarteixo/</t>
  </si>
  <si>
    <t>J.</t>
  </si>
  <si>
    <t>Estoy más tenso que un careo entre Santiago Abascal y Pablo Iglesias.</t>
  </si>
  <si>
    <t>Leganés-Madrid</t>
  </si>
  <si>
    <t>CDL. Fútbol y música. A veces pienso.</t>
  </si>
  <si>
    <t>http://instagram.com/jonyjms</t>
  </si>
  <si>
    <t>Mcarmen</t>
  </si>
  <si>
    <t>Pablo Iglesias es el mayor enemigo de la democracia  Compartido desde Discover</t>
  </si>
  <si>
    <t>los cerdos chavistas de la Chusma Comunista bolivariana de Podemos y sus enajenados, echan bilis al ver el cariño de los Españoles hacia los Reyes de España.</t>
  </si>
  <si>
    <t>Alberto Solís</t>
  </si>
  <si>
    <t>Que no os engañen. España vive en un fascismo de izquierdas . Que nos os venda la moto Pablo Iglesias</t>
  </si>
  <si>
    <t>https://pbs.twimg.com/media/Dt0AqiqXQAAErfd.jpg</t>
  </si>
  <si>
    <t>Esperando el Second Coming de nuestro señor Mendilibar...#YNWA #LFC @realvalladolid</t>
  </si>
  <si>
    <t>Snack93</t>
  </si>
  <si>
    <t>Graduado en Ingeniería Informática Mención de Computación. Entusiasta por Data Science, BI e interesado por el mundo del marketing digital. Libertad y progreso.</t>
  </si>
  <si>
    <t>Xan Pereira Castro</t>
  </si>
  <si>
    <t>xanotolo@gmail.com</t>
  </si>
  <si>
    <t>Periodista. Con tendencia a caer hacia la izquierda. Ahora en @_contrainfo</t>
  </si>
  <si>
    <t>http://www.contrainformacion.es</t>
  </si>
  <si>
    <t>Contrainformacion.es</t>
  </si>
  <si>
    <t>.@AGarzon: “Pensamos que es un error creer que la defensa de la Monarquía es la defensa de España; la defensa de España son los derechos sociales y la justicia social" @IUnida @ElPCE @Elba_Celo @Pablo_Iglesias</t>
  </si>
  <si>
    <t xml:space="preserve">Info@contrainformacion.es </t>
  </si>
  <si>
    <t>Periodismo incómodo.</t>
  </si>
  <si>
    <t>En Nuestra Plaza: Pablo Iglesias: “Apostamos por que la libre decisión de los pueblos construya un proyecto unido” El líder de Unidos Podemos propone abolir la monarquía y dar paso a una república en España</t>
  </si>
  <si>
    <t>https://ift.tt/2PqfZFp</t>
  </si>
  <si>
    <t>La payasada casposa de Podemos: les cuelan como logo para su República la marca de un salón de belleza</t>
  </si>
  <si>
    <t>Julio R. Carmona</t>
  </si>
  <si>
    <t>IMPRESIONANTE CARTA DE SANTIAGO ABASCAL, PRESIDENTE DE VOX, A PABLO IGLESIAS Pablo, permite que me ahorre lo de "estimado", más que nada porque me gusta decir la verdad siempre. El caso es que el otro día...</t>
  </si>
  <si>
    <t>https://www.facebook.com/1257594960/posts/10213002556439430/</t>
  </si>
  <si>
    <t>28 años en comunicación publicitaria. Social Media. Escribo discursos políticos, cuentos (casi es igual), novelas. Marketing político. Guiones. Autor / Editor.</t>
  </si>
  <si>
    <t>http://libertadesliterarias.blogspot.com.es/</t>
  </si>
  <si>
    <t>Historia Española</t>
  </si>
  <si>
    <t>Podemos elimina las referencias a España del discurso de Pablo Iglesias contra VOX. RT @Santi_ABASCAL: Por eso estos representan a la España muerta</t>
  </si>
  <si>
    <t>Aragón, España.</t>
  </si>
  <si>
    <t>Orgulloso de ser español, orgulloso de nuestra historia, #EspañaViva🇪🇸. Cuenta denunciada por más de 100 separatistas. #TotsSomCatalunya</t>
  </si>
  <si>
    <t>Jato Marrón</t>
  </si>
  <si>
    <t>Soy triunfador sin triunfos y revolucionario sin guerra, corazón sin sangre y canción sin voz.</t>
  </si>
  <si>
    <t>Pablo Iglesias es como Maduro. Da risa... Mucha risa verlo ataviado de los años 70 de la mano de su compañero... hasta que ves a Maduro en un gobierno... y entonces da miedo... Y hambre, mucha hambre y mucha miseria... Como todo gobierno populista RT @pnique: Abascal es como Torrente. Da risa... hasta que te imaginas a Torrente en un parlamento o en un gobierno... y entonces da miedo.</t>
  </si>
  <si>
    <t>Nuria</t>
  </si>
  <si>
    <t>Lee y RTW!!!! Todos contra Pablo Iglesias que lo juzguen por incitacion a la violencia. Cuidado!!! Pablo Iglesias e sun fracasado como el mismo comunismo, y nos quiere a todos en una dictadura. Todos contra el!!! RT @victoriah991: Pablo Iglesias podría ser juzgado por incitación a la violencia según el Código Penal Pues si es así, que lo inhabiliten y lo juzguen 👇👇</t>
  </si>
  <si>
    <t>https://twitter.com/victoriah991/status/1070450921698721794
http://www.diarioalcazar.com/2018/12/pablo-iglesias-podria-ser-juzgado-por.html#.XAhWcAdsvPM.twitter</t>
  </si>
  <si>
    <t>Belgium/Spain</t>
  </si>
  <si>
    <t>La Fiscalía debe de actuar de oficio contra Pablo Iglesias según Artículo 510 del CP, por incitar al odio y a la violencia, así como todos aquellos q actúen de la misma forma.</t>
  </si>
  <si>
    <t>https://pbs.twimg.com/media/Dtz8TN4XgAAOXGm.jpg</t>
  </si>
  <si>
    <t>Sebastian Ferreira Jaramillo</t>
  </si>
  <si>
    <t>Pablo Iglesias es el mayor enemigo de la democracia según El Mundo, Bolivarianos, Revolucionarios Democráticos, Autonomistas, Frente amplistas, también, todos se camuflan en denominaciones que sólo son apéndices del mal mayor, el Marxismo.  vía @elmundoes</t>
  </si>
  <si>
    <t>Peñalolén, Chile</t>
  </si>
  <si>
    <t>Nihil est incertius vulgo, nihil obscurius voluntate hominum, nihil fallacius ratione tota comitiorum. Amor patriae nostra lex.</t>
  </si>
  <si>
    <t>Isaac Pradel Leal</t>
  </si>
  <si>
    <t>En España defender la recentralización de competencias: Fascismo. En Francia, defender la centralización de competencias: socialismo jacobino igualitario. Igual el problema de España es el analfabetismo político, empezando por los politólogos como Pablo Iglesias, y de la prensa</t>
  </si>
  <si>
    <t xml:space="preserve">Alicante, España. </t>
  </si>
  <si>
    <t>Economista trilingüe y un podólatra de la re-hostia!!! aspiro a jugar con los piececitosss bonitosssss de señoras estupendas...</t>
  </si>
  <si>
    <t>http://www.kojackadasvarias.blogspot.com</t>
  </si>
  <si>
    <t>Elmo Liberal 🇪🇸</t>
  </si>
  <si>
    <t>The very best of Pablo Iglesias: "Me gustaría azotar a Mariló Montero hasta que sangrara" "Queremos una España feminista" #IlegalizaciónPodemosYa #40AñosDeConstitución</t>
  </si>
  <si>
    <t>No te preguntes qué puede hacer tu país por ti, preguntarte qué puedes hacer tu por tu país. Apoyo a VOX. #EspañaGrandeOtraVez</t>
  </si>
  <si>
    <t>Economía y Bolsa</t>
  </si>
  <si>
    <t>Huey Long, 1935: “Cuando el fascismo llegue será llamado antifacismo”. Pablo Iglesias, 2 de diciembre llama a los antifascistas a que se pongan en "alerta" ante la irrupción de Vox.</t>
  </si>
  <si>
    <t>Esta comunidad nace con la intención de unir a quienes nos gusta la economía y la bolsa en Murcia. Wall Street será nuestra principal atención.</t>
  </si>
  <si>
    <t>https://www.facebook.com/enconomiaybolsa</t>
  </si>
  <si>
    <t>Pao is here.</t>
  </si>
  <si>
    <t>Potemos reivindica una España (este país) feminista ("feminismo" radical), republicana (protegidos por la democracia monárquica), trabajadora (no han trabajado en su vida y viven en chalés) y democrática (y si no les votan mandan a sus matones). Así todo.</t>
  </si>
  <si>
    <t>Española y europea. FUCK UE. Ilegales NOT welcome. Es peligroso tener razón cuando el gobierno está equivocado. SPQR. 🇸🇾 2018. No DMs. Antifeminista. Fase Rom.</t>
  </si>
  <si>
    <t>M. Rosa</t>
  </si>
  <si>
    <t>A mí, como española, me da vergüenza que exista podemos, y mucha más Pablo Iglesias, Echenique, y compañía RT @MediterraneoDGT: 😏 Mira @Santi_ABASCAL 👇 Pablo Iglesias: 'Me da vergüenza como español que exista VOX'</t>
  </si>
  <si>
    <t>La querella registrada ante el Supremo se dirije, entre otros, a Juan Carlos de Borbón, Corinna zu Sayn-Wittgenstein, Félix Sanz Roldán, Juan Miguel Villar Mir, Juan Villalonga y Villarejo. @agarzon @IUnida @ElPCE @Elba_Celo @Pablo_Iglesias</t>
  </si>
  <si>
    <t>Blackburn</t>
  </si>
  <si>
    <t>Detrás de ti</t>
  </si>
  <si>
    <t>La fé significa no querer saber lo que es realmente la verdad.</t>
  </si>
  <si>
    <t>http://ask.fm/rauldelarosac</t>
  </si>
  <si>
    <t>Hoy por hoy</t>
  </si>
  <si>
    <t>Si pensáis en Pablo Casado, Gabriel Rufián, Santiago Abascal, Albert Rivera, Pedro Sánchez o Pablo Iglesias... ¿De verdad creéis que este es un buen momento para reformar la Constitución? #LaPreguntaDelDía</t>
  </si>
  <si>
    <t>Cadena SER</t>
  </si>
  <si>
    <t>El programa líder de la radio española. De lunes a viernes, de 6:00 a 12:20h, en @La_SER. Dirigido por @PepaBueno y Toni @GarridoCoronado.</t>
  </si>
  <si>
    <t>http://www.hoyporhoy.es</t>
  </si>
  <si>
    <t>Almudena MF</t>
  </si>
  <si>
    <t>El problema de Pablo Iglesias es su intolerancia a los que no piensan cómo èl. Eso le incapacita como político y le descalifica como persona RT @infiltradoxxx: Cuando el Rey supo del problema de los hijos de los Iglesias-Montero les llamo para preocuparse por su estado, hoy Pablo Iglesias le ha negado el saludo, poco más que añadir.</t>
  </si>
  <si>
    <t>Almudena Martínez-Fornés. Corresponsal de ABC en la Casa Real</t>
  </si>
  <si>
    <t>CONCHA ZARAGOZA</t>
  </si>
  <si>
    <t>ZARAGOZA - ESPAÑA</t>
  </si>
  <si>
    <t>Casada, tres hijos. No soporto la mentira ni la hipocresía. Mi lema...Carpe Diem.</t>
  </si>
  <si>
    <t>Aitona Cabreado</t>
  </si>
  <si>
    <t>Pablo Iglesias contrapone "el republicanismo feminista" al discurso de Felipe VI en el aniversario de la Constitución  vía @eldiarioes</t>
  </si>
  <si>
    <t>https://www.eldiario.es/_32458238</t>
  </si>
  <si>
    <t>Donostia</t>
  </si>
  <si>
    <t>De izquierdas republicano siempre en lucha contra mis contradiccones</t>
  </si>
  <si>
    <t>Marat ☭</t>
  </si>
  <si>
    <t>Creo no ser sospechoso precisamente de simpatizar en absoluto con Podemos ni con Iglesias, entre otros motivos pq soy comunista. Pero que @elmundoes titule uno de sus libelos como "Pablo Iglesias es el mayor enemigo de la democracia" demuestra que la derecha está fascistizándose</t>
  </si>
  <si>
    <t>Izquierdista imbécil es el sujeto que entra al trapo que el capital, sus medios y el parlamentarismo le ponen para que no hable de lucha de clases y explotación</t>
  </si>
  <si>
    <t>http://marat-asaltarloscielos.blogspot.com.es/</t>
  </si>
  <si>
    <t>polilla7796</t>
  </si>
  <si>
    <t>Pablo Iglesias es la envidia de los profesores de universidad en Venezuela. Se preguntan cómo puede ser que un profesor de universidad en España,sea capaz de comprarse una casa de 600.000 euros, si ellos y según Pablo son la envidia del mundo demócrata y ganan 130 dólares al mes</t>
  </si>
  <si>
    <t>https://pbs.twimg.com/media/Dtz4kGzWsAIwH7P.jpg</t>
  </si>
  <si>
    <t>Pontevedra</t>
  </si>
  <si>
    <t>HelBog12</t>
  </si>
  <si>
    <t>Si a Pablo Iglesias, el político que se juega por mejorar la vida de la gente, todos votamos a Pablo RT @Pablo_Iglesias_: La subida del salario mínimo a 900 euros permitirá a muchas familias llegar a fin de mes. Es uno de los logros que harán que, por fin, los presupuestos sean una herramienta para mejorar la vida de la gente. Seguimos trabajando en políticas para la vida. #SíSePuede!</t>
  </si>
  <si>
    <t>https://twitter.com/pablo_iglesias_/status/1050434846546386945</t>
  </si>
  <si>
    <t>https://pbs.twimg.com/media/DpPyWg7WkAAZa9Y.jpg</t>
  </si>
  <si>
    <t>🌱</t>
  </si>
  <si>
    <t>Mara</t>
  </si>
  <si>
    <t>Se comenta solo. Espero que Pablo Iglesias refelexione sobre a que tipo de mendrugos manipula. Miembros de Vox denuncian haber sido agredidos en su sede de Lorca  vía @laverdad_es</t>
  </si>
  <si>
    <t>Afiliada a nada-nadie excepto a la libertad. Comunicadora. Divergente Mi opinión es mía. http://madridiario.es y http://diariocritico.com APEI</t>
  </si>
  <si>
    <t>https://gab.com/PalomaLibre</t>
  </si>
  <si>
    <t>Eliseo Pontes 🇪🇸🇪🇺🌐</t>
  </si>
  <si>
    <t>Ésto es democracia es estado puro, ¿verdad Pablo_Iglesias_?  vía @ABC_Mundo</t>
  </si>
  <si>
    <t>https://www.abc.es/internacional/abci-maduro-ofrece-pernil-y-tres-euros-voten-elecciones-municipales-domingo-201812070313_noticia.html#ns_campaign=rrss-inducido&amp;ns_mchannel=abc-es&amp;ns_source=tw&amp;ns_linkname=noticia-foto&amp;ns_fee=0</t>
  </si>
  <si>
    <t>Sum ergo cogito. Políticamente incorrecto. Sentido común.</t>
  </si>
  <si>
    <t>Ángel CG</t>
  </si>
  <si>
    <t>Pablo Iglesias contrapone "el republicanismo feminista" al discurso de Felipe VI en el aniversario de la Constitución.</t>
  </si>
  <si>
    <t>Intentado encontrar lógica al 1.0 en 2.0. Entre Conócete a tí mismo y Perdonen que no me levante, me quedo con Groucho. #SocialMedia #Branding</t>
  </si>
  <si>
    <t>http://sobradosmotivos.com</t>
  </si>
  <si>
    <t>Por eso estos representan a la España muerta</t>
  </si>
  <si>
    <t>EL CHEPAS 2.0</t>
  </si>
  <si>
    <t>Un hombre justo es aquel que tiene el poder y lo usa para hacer justicia. Se ve que Pablo Iglesias no es, para nada, un hombre justo.</t>
  </si>
  <si>
    <t>Denunciáis las cuentas de Twitter de los que no piensan como vosotros y proclamáis que sois ustedes los que lucháis contra EL SISTEMA. Estupendo.</t>
  </si>
  <si>
    <t>Ahora resulta q por ser español y llevar una pulsera, unos tirantes o una bandera d España en el coche,están en su derecho poder darte una paliza o destrozarte el coche. Bueno,pues q nos digan estos demócratas de la ULTRA IZQUIERDA de Pablo Iglesias, qué debemos llevar o NO.</t>
  </si>
  <si>
    <t>🔴Los 'demócratas' •Joaquín Torra: “apretad” (CDR) •Pablo Iglesias Turrión: “alerta antifascista” •Otegi, alias 'el gordo' (ETA): “alianza antifascista”</t>
  </si>
  <si>
    <t>https://pbs.twimg.com/media/Dtz2lV2W0AENXKi.jpg</t>
  </si>
  <si>
    <t>Cuando el Rey supo del problema de los hijos de los Iglesias-Montero les llamo para preocuparse por su estado, hoy Pablo Iglesias le ha negado el saludo, poco más que añadir. ☑️ M6R FORMA REPUBLICANA, MEDIACIÓN INSTITUCIONAL, PROCESO REPUBLICANO, LOS PEORES ESTUDIANTES,</t>
  </si>
  <si>
    <t>Cuando el Rey supo del problema de los hijos de los Iglesias-Montero les llamo para preocuparse por su estado, hoy Pablo Iglesias le ha negado el saludo, poco más que añadir. 🔔 NS6 ACCIÓN GRADUAL, SINTESIS ADEFÉSICA, POTENCIA REPUBLICANA, ACCIÓN DE LIBERTAD,</t>
  </si>
  <si>
    <t>Borja Martín</t>
  </si>
  <si>
    <t>Repaso de un 'rojo' andaluz a Pablo Iglesias: "Cuando usted predica pobreza y se compra un chalé, nace un fascista"</t>
  </si>
  <si>
    <t>https://www.libertaddigital.com/espana/2018-12-04/carta-de-un-rojo-andaluz-a-pablo-iglesias-cuando-usted-predica-sobriedad-pero-se-compra-un-chale-nace-un-fascista-1276629342/?fbclid=IwAR22Axaq7xtowLVbVNlUatEfRCxEbPUDxfiCtd-aA7UfzafZK7FYAUk8C_s</t>
  </si>
  <si>
    <t>http://cocinasingluten.info</t>
  </si>
  <si>
    <t>Gandumbas</t>
  </si>
  <si>
    <t>Cuando Pablo Iglesias quiere hablar con Alberto Garzón, pide que le traigan al tarado. Como en Pulp Fiction.</t>
  </si>
  <si>
    <t>Decís de mi, pero vosotros también tenéis lo vuestro.</t>
  </si>
  <si>
    <t>Cuando el Rey supo del problema de los hijos de los Iglesias-Montero les llamo para preocuparse por su estado, hoy Pablo Iglesias le ha negado el saludo, poco más que añadir. 🔔 L9S LEGALIDAD REPÚBLICA, SOCIEDAD EMPRESARIAL, LA SOCIEDAD CIVIL, Organización,</t>
  </si>
  <si>
    <t>Isidoro</t>
  </si>
  <si>
    <t>Genial. Toma nota Pablo Iglesias, demasiadas quejas para un tío con un casoplón como el tuyo.</t>
  </si>
  <si>
    <t>https://pbs.twimg.com/media/Dtz0DCoXcAARsH4.jpg</t>
  </si>
  <si>
    <t>De paso</t>
  </si>
  <si>
    <t>La payasada casposa de Podemos: les cuelan como logo para su 'República' la marca de un salón de belleza  vía @Periodistadigit</t>
  </si>
  <si>
    <t>Pablo Iglesias ahora está alentando el odio al distinto y los disturbios en la calle. Un diputado español no debe comporte como cuando organizaba escraches de acoso en la universidad, tirando la piedra y escondiendo la mano. ➡️ OJ9 ÚltimaHora, DemocraciaFormal,</t>
  </si>
  <si>
    <t>Pilar Lara</t>
  </si>
  <si>
    <t>Contestando a Pablo Iglesias creo que no se enteró que a los ciudadanos lo que más nos importa llegar a fin de mes es que no nos echen de las viviendas es que las pensiones sean dignas la sanidad la educación muchísimas otras cosas importantísimas y la independencia Cataluña</t>
  </si>
  <si>
    <t>Minador 💫</t>
  </si>
  <si>
    <t>: “No me gustan sus ideas, no me gusta su líder o no están preparados”.</t>
  </si>
  <si>
    <t>https://okdiario.com/espana/2018/12/05/foros-militancia-podemos-arden-contra-iglesias-pablo-callate-haz-autocritica-3427399#.XApUFZ3qk5M.twitter</t>
  </si>
  <si>
    <t>Sabadell, España</t>
  </si>
  <si>
    <t>Barcelonés que además de catalá se siente español, orgulloso de España y de su Rey. Católico, Padre y esposo. Inversor aficionado. #PocosEnchironadosAun</t>
  </si>
  <si>
    <t>RSuárez</t>
  </si>
  <si>
    <t>Este es el panfleto dizque liberal del tipo que juega al ping pong con Pablo Iglesias. @pedroj_ramirez RT @FrayJosepho: 🔴OJO A ESTE TITULAR. No es de Público ni de . Ni siquiera de El País. NO. Es de @elespanolcom de @pedroj_ramirez. Que no hay que "humanizar" a @Santi_ABASCAL. O sea, que hay que deshumanizarlo. Un diario que se dice liberal. Triste.</t>
  </si>
  <si>
    <t>https://twitter.com/frayjosepho/status/1070786718683619328
http://eldiario.es
https://www.elespanol.com/bluper/noticias/irresponsabilidad-ana-rosa-telecinco-humanizando-santiago-abascal-ultraderecha</t>
  </si>
  <si>
    <t>Liberal impenitente, austríaco y salmantino, asturiano y español. Madridista confeso y mourinhista irredento. Ciudadano ca(n)sado y, no, no Podemos.</t>
  </si>
  <si>
    <t>VOX Murcia-Provincia</t>
  </si>
  <si>
    <t>🔴🔴📣#Vox no blanquea a la extrema izquierda. 👦📢Llamamos a estos individuos, Radicales llenos de odio. Y señalamos a los culpables que les incitan a delinquir y practicar terrorismo Callejero. 👉Pablo Iglesias y Podemos. #EspañaViva #VoxAvanza #VoxLorca RT @laverdad_es: Afiliados del partido dirigido por Santiago Abascal aseguran que tres desconocidos les amenazaron de muerte y les golpearon al verles colgar el cartel de la formación en su nuevo local en Lorca</t>
  </si>
  <si>
    <t>https://twitter.com/laverdad_es/status/1070936574295199744
http://bit.ly/2QfQcox</t>
  </si>
  <si>
    <t>Murcia  https://www.voxespana.es/murcia</t>
  </si>
  <si>
    <t>Cuenta Oficial de Vox en la Provincia de Murcia. #HacerEspañaGrandeOtraVez ✉ info@murcia.voxespana.es Teléfono: 691 83 90 80</t>
  </si>
  <si>
    <t>vivi martinez</t>
  </si>
  <si>
    <t>Ste iIglesias, sta dsesperado, xq se le acaba la gallina de los huevos de oro y tiene que pagar 1casaplon de 2M. Por tanto esta dispuesto a todo, sin importarle los daños colaterales que eso implique.Porq les importamos una 💩y eso va por to2 los politicos</t>
  </si>
  <si>
    <t>http://puertasdoor-man.com</t>
  </si>
  <si>
    <t>Pablo Iglesias ahora está alentando el odio al distinto y los disturbios en la calle. Un diputado español no debe comporte como cuando organizaba escraches de acoso en la universidad, tirando la piedra y escondiendo la mano. ➡️ S5T POTENCIA REPUBLICANA,</t>
  </si>
  <si>
    <t>Pablo Iglesias ahora está alentando el odio al distinto y los disturbios en la calle. Un diputado español no debe comporte como cuando organizaba escraches de acoso en la universidad, tirando la piedra y escondiendo la mano. 🌏 ZSP La libertad política,</t>
  </si>
  <si>
    <t>Zuri</t>
  </si>
  <si>
    <t>Pablo Iglesias,debería empezar por hacer autocrítica,y reconocer q su palacio de 600000euros conseguido con un aval de 1millon de sus papis va en contra de todo lo q en teoría defiende él y su partido,Podemos. Debió dimitir en su momento.Ya sabemos q vivir del cuento engancha.</t>
  </si>
  <si>
    <t>Otra de Bilbao en Madrid</t>
  </si>
  <si>
    <t>#NoEsNo . Alta y cabezota.</t>
  </si>
  <si>
    <t>MAXIMO</t>
  </si>
  <si>
    <t>Mario.Bross lo ha comentado en La carta viral de un andaluz a Iglesias: "Cuando usted predica pobreza pero se compra un chalé, nace un fascista"</t>
  </si>
  <si>
    <t>http://shr.gs/cclTt6j</t>
  </si>
  <si>
    <t>La mayor gloria no es nunca caer, sino levantarse siempre- No hablo con comunistas, socialistas y marxistas, bloqueo ,</t>
  </si>
  <si>
    <t>Luis Auria Berduque</t>
  </si>
  <si>
    <t>¿Es el frentepopulismo una amenaza hoy?</t>
  </si>
  <si>
    <t>http://shr.gs/2NDO9Pb</t>
  </si>
  <si>
    <t>Jacobo Monfort</t>
  </si>
  <si>
    <t>dani nieve</t>
  </si>
  <si>
    <t>Santiago Abascal: 'Deseamos que Pablo Iglesias siga insultándonos todos ...</t>
  </si>
  <si>
    <t>https://www.youtube.com/watch?v=ICi8x1lwVD4&amp;feature=share</t>
  </si>
  <si>
    <t>Catiti Hueso</t>
  </si>
  <si>
    <t>Imágenes de Pablo Iglesias diciendo a los de Unidos Podemos lo q tienen q hacer Después del Discurso del Rey S.M. D. Felipe VI. Oiganme Todo Un ejercicio de Espontaneidad ... Secuestrada🇪🇸🇪🇸🇪🇸🇪🇸🇪🇸🇪🇸🇪🇸🇪🇸</t>
  </si>
  <si>
    <t>🇪🇸@Cheryl🏴󠁧󠁢󠁥󠁮󠁧󠁿#LoveMadeMeDoIt🏴󠁧󠁢󠁥󠁮󠁧󠁿@KimbaKidsUkl🇪🇸 👮‍♂️👮‍♀️🍀@jucilnacional @policia @guardiacivil @JupolNacional @jusapol #EquiparacionYa🇪🇸</t>
  </si>
  <si>
    <t>RacesTTIOM 2011</t>
  </si>
  <si>
    <t>Felipe González sobre Pablo Iglesias: "Si fuera presidente no me gustaría"</t>
  </si>
  <si>
    <t>https://okdiario.com/espana/2018/11/15/gonzalez-sobre-fuerza-iglesias-gobierno-si-fuera-presidente-no-gustaria-3353625#.XApQ55TwN-Q.facebook</t>
  </si>
  <si>
    <t>Isla de Man, Reino Unido</t>
  </si>
  <si>
    <t>@MMotoGP2017 @CamF12017 @KartingRoad @TheFairyNeedle</t>
  </si>
  <si>
    <t>https://twitter.com/IomTT2017</t>
  </si>
  <si>
    <t>Emilio Suárez</t>
  </si>
  <si>
    <t>Para Pablo Iglesias: yo no quiero un España machista y tampoco feminista</t>
  </si>
  <si>
    <t>Jesús Luque</t>
  </si>
  <si>
    <t>No, esta foto de un supuesto Pablo Iglesias cazando con un rifle no es real:  vía @malditobulo</t>
  </si>
  <si>
    <t>https://maldita.es/bulo/no-esta-foto-de-un-supuesto-pablo-iglesias-cazando-con-un-rifle-no-es-real</t>
  </si>
  <si>
    <t>Ana</t>
  </si>
  <si>
    <t>No se puede denunciar a Pablo Iglesias??</t>
  </si>
  <si>
    <t>Quico Autonell</t>
  </si>
  <si>
    <t>"se avergüenza" de la foto que se hizo el Rey emérito con el príncipe heredero de Arabia Saudí, "presunto responsable de un asesinato execrable". ¿Hablamos de Maduro? ¿Y de los Gays en Irán? Ya está bien de tomarnos el pelo  vía @ESdiario_com</t>
  </si>
  <si>
    <t>Pamplona</t>
  </si>
  <si>
    <t>Debería poner algo aquí, para animaros o todo lo contrario. Bueno allá vamos: De derechas, católico y nacido en Tabarnia. Culé con muchos amigos blancos.</t>
  </si>
  <si>
    <t>Teofrasto</t>
  </si>
  <si>
    <t>No he visto el vídeo entero pero si tengo que apostar a algo, me la juego a que es un corte malintencionado de un vídeo más largo donde Pablo Iglesias defiende de forma satírica el derecho a llevar armas. RT @indisioux: Echenique criticando que Abascal llevara una pistola para defenderse de ETA y Pablo Iglesias reivindicando el derecho a portar armas. A ver, podéis ser demagogos, pero un orden por favor que liáis a las bases.</t>
  </si>
  <si>
    <t>Es probable que te lleve la contraria, no te lo tomes como algo personal.</t>
  </si>
  <si>
    <t>Tras la llamada a la democracia de Pablo Iglesias, esto es lo que nos encontramos estos días...</t>
  </si>
  <si>
    <t>https://pbs.twimg.com/media/DtztlgPXgAATP2M.jpg</t>
  </si>
  <si>
    <t>Mariona Reig Massot</t>
  </si>
  <si>
    <t>Pablo Iglesias reivindica la república y Garzón se querella contra Juan Carlos I el día en el que regresaba al Congreso</t>
  </si>
  <si>
    <t>Palafrugell</t>
  </si>
  <si>
    <t>Mestra jubilada de l'Escola Vedruna de Palafrugell. Casada i mare.</t>
  </si>
  <si>
    <t>Mr. NO</t>
  </si>
  <si>
    <t>#pablo_iglesias_ al más puro estilo #maduro ...no tiene huevos de volver a enfrentarse a #errejon . Rtw</t>
  </si>
  <si>
    <t>https://www.20minutos.es/noticia/3510041/0/cocinero-apellas-faltas-ortografia-rivales-pablo-iglesias-primarias-podemos/</t>
  </si>
  <si>
    <t>🧔</t>
  </si>
  <si>
    <t>EL QUE LA HACE LA PAGA</t>
  </si>
  <si>
    <t>Repaso de un 'rojo' andaluz a Pablo Iglesias: "Cuando usted predica pobreza y se compra un chalé, nace un fascista"  vía @libertaddigital</t>
  </si>
  <si>
    <t>TOP SECRET</t>
  </si>
  <si>
    <t>Alguien tiene q parar el estallido de violencia ciudadana q está preparando Pablo Iglesias. Alguien tiene q poner a P. Iglesias en su lugar antes nos volvamos a matar. P. iglesias es un protodictador agitador violento y totalitario MUY PELIGROSO y luego puede ser demasiado tarde</t>
  </si>
  <si>
    <t>Pablo Iglesias no saluda a los Reyes y pide "República" EL CHEPAS EN SU LINEA!</t>
  </si>
  <si>
    <t>https://www.cope.es/n/305899</t>
  </si>
  <si>
    <t>Tony Muñoz</t>
  </si>
  <si>
    <t>Pablo Iglesias al lado de Gordillo no es nadie RT @PilotoRojo73: Por mucho que les pese a la mierda de país que tenemos, Pablo Iglesias es el mejor político en 40 años de democracia.</t>
  </si>
  <si>
    <t>https://twitter.com/PilotoRojo73/status/1070445562128990208</t>
  </si>
  <si>
    <t>pic.twitter.com/X8Fz4lY2Zp</t>
  </si>
  <si>
    <t>Biólogo, amante de la naturaleza y del buen rollito, fan de Juego de Tronos, escudero de la risa. Antifascista y proletario.</t>
  </si>
  <si>
    <t>https://www.instagram.com/tony_munoz92/</t>
  </si>
  <si>
    <t>cris romate</t>
  </si>
  <si>
    <t>#TiempodePactosARV Resultados de Andalucía.: Vox ha aparecido gracias a Pedro Sánchez y Pablo Iglesias por no celebrar elecciones después de la moción de censura. Cada día que pase más votantes de vox.</t>
  </si>
  <si>
    <t>Pablenin, hijo de terroristas, podría ser juzgado por incitar a la violencia. Ya no sale gratis implantar odio y comunismo Pablito</t>
  </si>
  <si>
    <t>http://www.diarioalcazar.com/2018/12/pablo-iglesias-podria-ser-juzgado-por.html?m=1#.XAfS7SE-6H8.whatsapp</t>
  </si>
  <si>
    <t>Tomás 🇪🇸</t>
  </si>
  <si>
    <t>Chupito cada vez que Pablo Iglesias diga "república feminista".</t>
  </si>
  <si>
    <t>Madrid,España</t>
  </si>
  <si>
    <t>Digo cosas. Madridista, claro.</t>
  </si>
  <si>
    <t>Madrid, Úbeda y Córdoba. Cocomocho al talego!</t>
  </si>
  <si>
    <t>Coletaborroka vs Emérito Don Juan Carlos. No lo sé Rick, pero me quedo con el segundo.</t>
  </si>
  <si>
    <t>Madrid, Spain.</t>
  </si>
  <si>
    <t>De derechas, católico, fascista para los mediocres y del Real Madrid hasta la muerte. Luchando por la unidad de España. Viva la Guardia Civil. 🎗️🔨</t>
  </si>
  <si>
    <t>Juan Salgado Igual</t>
  </si>
  <si>
    <t>“Pablo Iglesias no tiene miedo al fascismo, él mismo es el fascismo, lo que le pasa es que tiene un rebote de...”</t>
  </si>
  <si>
    <t>🇪🇺🇪🇸󠁥󠁳󠁡󠁳󠁿🇸🇪 LET THE WORLD KNOW THE TRUTH: Catalonian independence movement it's about the SUPREMACY OF SOME CATALANS over other Catalans only.</t>
  </si>
  <si>
    <t>fifi Roldan</t>
  </si>
  <si>
    <t>Iglesias, "decepcionado" con el rey por no hablar de corrupción en su discurso  vía @20m</t>
  </si>
  <si>
    <t>https://www.20minutos.es/noticia/3510498/0/pablo-iglesias-corrupcion-discurso-constitucion-rey/?utm_source=twitter.com&amp;utm_medium=socialshare&amp;utm_campaign=mobile_web</t>
  </si>
  <si>
    <t>Almonte(Huelva)</t>
  </si>
  <si>
    <t>Siempre a favor del mas devil</t>
  </si>
  <si>
    <t>Ventura Fernandez Millares</t>
  </si>
  <si>
    <t>No soy de podemos soy comunista pero me encantó lo que hizo Pablo Iglesias el día de la constitución:se saltó el saludo protocolario al la familia real y se negó ayer aplaudir tras el discurso del rey</t>
  </si>
  <si>
    <t>Ribeira, España</t>
  </si>
  <si>
    <t>Soy comunista con lo cual voy contra este sistema</t>
  </si>
  <si>
    <t>Julian Alberto Vivar</t>
  </si>
  <si>
    <t>Pablo Iglesias no hables tanto y se mas efectivo y no radical en tus palabras para que no bajes en votos y la izquierda pueda sumar.</t>
  </si>
  <si>
    <t>Articulista, cronista político-social</t>
  </si>
  <si>
    <t>fabiola navarro</t>
  </si>
  <si>
    <t>Monedero, Pablo Iglesias, Garzón..... Comunistas de mierda!!!! Jamás gobernarán en España, y lo saben. Qué les queda??? Sembrar odio!! Populistas baratos q coméis del pueblo!!! SINVEGÜENZAS manipuladores de chavales!!!</t>
  </si>
  <si>
    <t>🇪🇸 ABSTENERSE COMUNISTAS 🐈 No me molesto en contestar, solo bloqueo. ASCO DE CORRUPTOS DE IZQUIERDAS Y DERECHAS! Vallisoletana y madrileña. #HALAMADRID</t>
  </si>
  <si>
    <t>todopuedepasar</t>
  </si>
  <si>
    <t>Bendito sea....el tonto vividor de marichalar se presenta en una concentración de independentista chuleandose y tienen que sacarlo por que si no le dan.. y para los eruditos tertulianos de al RV la culpa es de Pablo Iglesias ...esto es una mierda</t>
  </si>
  <si>
    <t>Luis Martín</t>
  </si>
  <si>
    <t>Beati hispani, quibus vivere bibere est.</t>
  </si>
  <si>
    <t>http://www.profereli.blogspot.com</t>
  </si>
  <si>
    <t>Antonio Gallardo 😎</t>
  </si>
  <si>
    <t>Este es el miedo que consigue el cabron de Pablo Iglesias llamando a la violencia. Te tendrían que detener HDLGP</t>
  </si>
  <si>
    <t>https://www.facebook.com/100000998480837/posts/2055889434454319/</t>
  </si>
  <si>
    <t>Mi versión del optimismo. Si no puedo cruzar una puerta, cruzaré otra o haré otra puerta. Algo maravilloso vendrá, no importa lo oscuro que esté el presente.</t>
  </si>
  <si>
    <t>De la casta.... a la 📡 K8L Desorden, ESTADO-ORGANIZACIÓN, TRES IDEAS-FUERZA, LIBERTAD EXISTENCIAL, ÚltimaHora, MOVIMIENTO DE LEGITIMACIÓN, REPÚBLICO, SOLUCIÓN = ACCIÓN, UNIDAD POLÍTICA, DERECHA-IZQUIERDA, ACCIÓN GRADUAL, efecto emergente, caspa</t>
  </si>
  <si>
    <t>Francisco Garrobo 🎗 🔻 #NouBarris</t>
  </si>
  <si>
    <t>Tengo una duda... Pablo Iglesias salió el otro día diciendo que había que parar a VOX en la calle... pero ahora aquí en Catalunya lo paran en actos del 6D... a alguno de ICV le puede petar la cabeza...</t>
  </si>
  <si>
    <t>la Guineueta, Barcelona</t>
  </si>
  <si>
    <t>De #NouBarris y luchador orgulloso #LGBTI. Militando en @Partit_Pirata i @CUPBarcelona y luchando en @AVVCMeridiana.</t>
  </si>
  <si>
    <t>http://franciscogarrobo.cat</t>
  </si>
  <si>
    <t>De la casta.... a la ✔️ UNK Desorden, Separación de facto de los poderes, LibConstituyente, Rebeldía, ORGANIZAR LA DECENCIA, ESTAR EN CAMPAÑA, Sumisión, cuestión del poder, MANDATO IMPERATIVO, Algarada, PARADOJAS DE LA LIBERTAD, caspa</t>
  </si>
  <si>
    <t>De la casta.... a la 🌎 FEC PROBABLE REPÚBLICA, ACCIÓN GRADUAL, LIBERTAD FUNDAMENTANTE, LIBERTAD DE PENSAR, República, Bulla de bullir, Insurrección, Agitación, COMEDIA POLÍTICA, LIBERACIÓN, POSTELECTORALISMO, legislativo, Venezuela, caspa</t>
  </si>
  <si>
    <t>Filo Ren</t>
  </si>
  <si>
    <t>PPR. La basura asesina debe pudrirse en la carcel. Imagino que Pablo Iglesias seguirá en desacuerdo... RT @el_pais: ÚLTIMA HORA | Detenido en Brasil García Julia, uno de los autores de la matanza de Atocha</t>
  </si>
  <si>
    <t>https://twitter.com/el_pais/status/1070749916564197376
http://ow.ly/NQRz30mTnzo</t>
  </si>
  <si>
    <t>Estaré loco, pero aún vivo del corazón</t>
  </si>
  <si>
    <t>Pamplona Actual</t>
  </si>
  <si>
    <t>El colectivo de madres envía una carta a Pablo Iglesias y Alberto Garzón para informarles de la situación de desigualdad de las familias navarras -</t>
  </si>
  <si>
    <t>Primer diario digital de Pamplona, su Comarca y Navarra. Lo local, primero. Síguenos en facebook: http://facebook.com/pamplonaactual…</t>
  </si>
  <si>
    <t>http://pamplonaactual.com/</t>
  </si>
  <si>
    <t>EvaBrown</t>
  </si>
  <si>
    <t>Una más para luchar por el cambio. Animalista y feminista.</t>
  </si>
  <si>
    <t>Galiza Contrainformacion.es</t>
  </si>
  <si>
    <t>Galiza</t>
  </si>
  <si>
    <t>Somos a sección galega de @_Contrainfo.</t>
  </si>
  <si>
    <t>https://contrainformacion.es/category/espana/encontro-actualidade-galega/</t>
  </si>
  <si>
    <t>Linares</t>
  </si>
  <si>
    <t>Jorge G-M</t>
  </si>
  <si>
    <t>Me da vergüenza, como español, que exista @ahorapodemos Seguramente me llamarán fascista... O esto sí que está permitido?</t>
  </si>
  <si>
    <t>https://mediterraneodigital.com/espana/comunidad-de-madrid/pablo-iglesias-me-da-vergueenza-como-espanol-que-exista-vox.html</t>
  </si>
  <si>
    <t>Equo ne credite, Teucri! Quidquid id est, timeo danaos et dona ferentes. (Eneida, II, 49)</t>
  </si>
  <si>
    <t>http://nuevaspoliticas.wordpress.com/</t>
  </si>
  <si>
    <t>jesús merchán</t>
  </si>
  <si>
    <t>salamanca</t>
  </si>
  <si>
    <t>Contador de tiempo</t>
  </si>
  <si>
    <t>https://www.facebook.com/1047940968/posts/10216479912644174/</t>
  </si>
  <si>
    <t>Roberto Gonzalez</t>
  </si>
  <si>
    <t>I liked a @YouTube video  Protestas contra VOX en Andalucía - Pablo Iglesias y Soldado Cebolleta - Coto de</t>
  </si>
  <si>
    <t>En el centro de mi universo</t>
  </si>
  <si>
    <t>Inquieto tecnologicamente hablando</t>
  </si>
  <si>
    <t>Granada200</t>
  </si>
  <si>
    <t>Pablo Iglesias reivindica la república y Garzón se querella contra Juan Carlos I el día en el que regresaba al Congreso  vía @laSextaTV</t>
  </si>
  <si>
    <t>http://j.mp/2RC6rsL</t>
  </si>
  <si>
    <t>Ciudad Real</t>
  </si>
  <si>
    <t>Apasionada por la lectura,la musica, caminar y la defensa de los derechos humanos</t>
  </si>
  <si>
    <t>Carlos Moreno</t>
  </si>
  <si>
    <t>"Los extremos se tocan", una expresión mas de esas cuya vigencia perdura en el tiempo. ¿Ejemplo?, "ultraderecha" e "izquierda radical", se confunden en una sola idea "FASCISMO" a ultranza. Pablo Iglesias y Santiago Abascal, dos caras de la misma moneda...: RT @MoisesNaim: Para entender algo más del agitado clima político de la España de hoy, lea esta carta publica que un andaluz ha enviado a Pablo Iglesias: "Cuando usted predica pobreza pero se compra un chalé, nace un fascista... ". Imperdible.  via @20m</t>
  </si>
  <si>
    <t>https://twitter.com/MoisesNaim/status/1070326279566704640?s=08
https://www.20minutos.es/noticia/3508831/0/carta-viral-abierta-andaluz-medico-pablo-iglesias-cuando-usted-predica-pobreza-pero-compra-chale-nace-fascista-elecciones-andalucia-2018-podemos-vox/?utm_source=twitter.com&amp;utm_medium=socialshare&amp;utm_campaign=mobile_web</t>
  </si>
  <si>
    <t>Ciencias Actuariales y Financieras, MBA - Consultoria</t>
  </si>
  <si>
    <t>Maribel Fernández</t>
  </si>
  <si>
    <t>Me da miedo Pablo Iglesias cuando habla, parece un mesias, un fanático, un extremista etc. Y este personaje quiere gobernar España ? Por favor, que se vaya a Venezuela, no, mejor a Cuba</t>
  </si>
  <si>
    <t>El Discurso extremista de Pablo Iglesias, desde que PODEMOS entró en la Política Española, tiene su primera Víctima, Asesinada por este Okupa radical de Izquierdas. Se hizo realidad su Arenga; "La Política se hace con cojones, dejaros de Mariconadas y a "Cazar Fachas".</t>
  </si>
  <si>
    <t>https://pbs.twimg.com/media/Dtzhs33W4AEH8Po.jpg</t>
  </si>
  <si>
    <t>Perroflautas haciendo el trabajo sucio a su líder Pablo Iglesias manchando sus manos en las calles mientras él desayuna en su casoplón tranquilo y partiéndose el rabo de ellos. Menuda panda de borregos ¡Qué penita!</t>
  </si>
  <si>
    <t>David muñoz</t>
  </si>
  <si>
    <t>Eres igual de comunista que Pablo Iglesias. RT @nolicus2000: @_andreea04 @heynoquieroserp Tienes toda la razón la verdad, pero yo creo que gente como esta es la que suelen hacer chirriar a todas las ideologías y provocan ideas confusas sobre ellas</t>
  </si>
  <si>
    <t>https://twitter.com/nolicus2000/status/1070976647371898880</t>
  </si>
  <si>
    <t>En Mi Casa</t>
  </si>
  <si>
    <t>Palas putas, rastrillos cabrones</t>
  </si>
  <si>
    <t>3l pedazo de sodomiza do de Fidel y sus asesinos @Pablo_Iglesias no deja de lucir su mediocridad amariconada ..algún día alguien le va hacer morder la coleta a ese maldito PARÁSITO ..e igual le cogio gustico con los sodomizadores CUBICHES RT @abc_es: El logo para peluquerías que Podemos mutó en icono «republicano»</t>
  </si>
  <si>
    <t>https://twitter.com/abc_es/status/1070973692518285312
http://ver.abc.es/9r4_d2</t>
  </si>
  <si>
    <t>Valencia noticias</t>
  </si>
  <si>
    <t>De Lenin a Pablo Iglesias - Valencia Noticias -  @vlcnoticias #Valencia #noticias</t>
  </si>
  <si>
    <t>https://valencianoticias.com/de-lenin-a-pablo-iglesias/</t>
  </si>
  <si>
    <t>https://pbs.twimg.com/media/DtzfkpDW0AE9kUu.jpg</t>
  </si>
  <si>
    <t>Valencia noticias: Alicante, Castellón y Valencia. Nacionales y Europeas. Resultados de la Lotería, bonoloto, Ahora en google kiosco http://goo.gl/XPWffT</t>
  </si>
  <si>
    <t>http://www.vlcnoticias.com</t>
  </si>
  <si>
    <t>Pablo Iglesias reivindicando el derecho a llevar armas... Ay @pnique que no te enteras!!! Tienes la neurona todavía en La Pampa!!</t>
  </si>
  <si>
    <t>pic.twitter.com/7VaxfDVq5m</t>
  </si>
  <si>
    <t>Juan Buendía Perfil</t>
  </si>
  <si>
    <t>todavía hay clases mientras  Iglesias enardecía las calles de Andalucía Errejón lanzaba  su campaña marca personal en Madrid</t>
  </si>
  <si>
    <t>http://tiradecontacto.blogspot.com.es/2015/01/tania-sanchez-en-leganes.html
http://clearfile.blogspot.com.es/2016/07/podemos-dinamita-puentes-leganes.html
https://nzzl.us/2lYoFmP</t>
  </si>
  <si>
    <t>Ibiza</t>
  </si>
  <si>
    <t>preparando Revoluçao en el + allá, NO ES otro garito de Móstoles como se ha dicho, mano derecha de Barrabás</t>
  </si>
  <si>
    <t>http://photocontact.blogspot.com</t>
  </si>
  <si>
    <t>Esto debe pagarlo quien los convocó: Pablo Iglesias... RT @eduardoinda: Los violentos podemitas de Cádiz reventaron el cristal blindado de una tienda que vende ropa con la bandera de España</t>
  </si>
  <si>
    <t>https://twitter.com/eduardoinda/status/1070651605236768769
https://okdiario.com/espana/2018/12/06/violentos-podemitas-cadiz-reventaron-cristal-blindado-tienda-que-vende-ropa-bandera-espana-3432508?utm_campaign=inda&amp;utm_medium=Social&amp;utm_source=Twitter#Echobox=1544082619</t>
  </si>
  <si>
    <t>De la casta.... a la caspa  JD #LaOfensiva</t>
  </si>
  <si>
    <t>Yankas</t>
  </si>
  <si>
    <t>El verdadero #PedroSánchez - InfoVlogger #PSOE #PSICÓPATA #MALDITO #HDP elegido por las urnas de sus cojones y legitimado por todos los que aman España. Pedro Sánchez, Pablo Iglesias, Carles Puigdemont y Bildu juntos, ¿qué puede salir mal?</t>
  </si>
  <si>
    <t>https://www.youtube.com/watch?time_continue=1&amp;v=OBEluUwFIu0</t>
  </si>
  <si>
    <t>Maracaibo Zulia Venezuela</t>
  </si>
  <si>
    <t>Soy Venezolano y español, Iberoamericano, amigo y hermano del mundo entero. https://www.facebook.com/pages/EL-Rinc%C3%B3n-de-Yanka/33490433402</t>
  </si>
  <si>
    <t>http://elrincondeyanka.blogspot.com/</t>
  </si>
  <si>
    <t>Ana Garro Gómez</t>
  </si>
  <si>
    <t>En @elconfidencial: Iglesias critica el discurso "decepcionante" del Rey y rechaza la ovación a Juan Carlos I</t>
  </si>
  <si>
    <t>https://www.elconfidencial.com/espana/2018-12-06/aniversario-constitucion-pablo-iglesias-podemos-rey-juan-carlos_1690826/?utm_source=twitter&amp;utm_medium=social&amp;utm_campaign=BotoneraWeb</t>
  </si>
  <si>
    <t>TARRAGONA</t>
  </si>
  <si>
    <t>Lady Godiva</t>
  </si>
  <si>
    <t>Libertad Liberales Liberalismo Capitalismo Anarcocapitalismo Derechos Individuales Propiedad Privada Cine Música Literatura</t>
  </si>
  <si>
    <t>VÍDEO | El saludo protocolario a los Reyes que Pablo Iglesias se saltó ▶</t>
  </si>
  <si>
    <t>http://atres.red/gitr63</t>
  </si>
  <si>
    <t>http://www.diarioalcazar.com/2018/12/pablo-iglesias-podria-ser-juzgado-por.html?m=1&amp;fbclid=IwAR3KzBLGCTfMjGuZGtBOyhNGA9kvdi5UjlypyhXqN8f91YoF3c3pMeKRYuc</t>
  </si>
  <si>
    <t>josepmarti</t>
  </si>
  <si>
    <t>tarragona</t>
  </si>
  <si>
    <t>twittearemos temas de seguridad privada para interesados y otros vigilantes de seguridad, podeis mandarnos también los vuestros a http://www.forodevigilantes.com</t>
  </si>
  <si>
    <t>http://www.forodevigilantes.com</t>
  </si>
  <si>
    <t>Beiconfrito</t>
  </si>
  <si>
    <t>Hola @malditobulo , esta mañana en @elprogramadear , Maria Claver ha vuelto a difundir un bulo sobre Pablo Iglesias.</t>
  </si>
  <si>
    <t>https://www.infolibre.es/noticias/medios/2014/09/06/13_emite_video_manipulado_para_acusar_pablo_iglesias_violento_21205_1027.html</t>
  </si>
  <si>
    <t>No estudio ADE.</t>
  </si>
  <si>
    <t>ALFONSO CASO DE LOS</t>
  </si>
  <si>
    <t>¿Alguien puede aguantar viendo esta foto tan solo un minuto?</t>
  </si>
  <si>
    <t>https://goo.gl/images/9Z7V77</t>
  </si>
  <si>
    <t>ASTURIAS-ESPAÑA</t>
  </si>
  <si>
    <t>http://alfilodelanavajadetaramundi.blogspot.com/</t>
  </si>
  <si>
    <t>Mario gutierrez</t>
  </si>
  <si>
    <t>"Pido perdón por no romper la cara a todos los fachas" por Pablo Iglesias  vía @YouTube Dice monedero que todo lo que dice Pablo Iglesias en este vídeo es falso @MonederoJC @mariaclaverr</t>
  </si>
  <si>
    <t>#OrgulloBarroco: el de Pablo Iglesias e Irene Montero en su chalé que te cagas.</t>
  </si>
  <si>
    <t>juan herrero eraso</t>
  </si>
  <si>
    <t>Pedro Sánchez, Pablo Iglesias, Susana Díaz, Teresa Rodríguez, Casado, Rivera . Supongo que ustedes al igual que Quim torra Juraron Bandera , en su momento , yo la jure con 18 Años en Despacho , al no pasar la prueba médica ¿ Qué opinan que se debe de hacer ,</t>
  </si>
  <si>
    <t>La foto del perfil no es la mia , es la del padre Pio</t>
  </si>
  <si>
    <t>DADDY MOU ®</t>
  </si>
  <si>
    <t>Madridista y Mourinhista. Hala Madrid y nada más!. 'Lo que piensen de mi, no es asunto mío' (Wayne Dyer)</t>
  </si>
  <si>
    <t>En muchos sitios se manifiestan violentamente porque han salido elegidos candidatos de Vox a la junta de Andalucía. Pablo Iglesias y similares, que las jalean, no aceptan la democracia, descalifican y extorsionan. ¿Vox no puede presentarse y Podemos sí? ¿Por qué la violencia?</t>
  </si>
  <si>
    <t>Ahora poTemos</t>
  </si>
  <si>
    <t>El problema no es modificar la Constitución, el problema es que tíos como Pablo Iglesias, Echenique o el doctor fraude intervengan en dicha modificación.</t>
  </si>
  <si>
    <t>Me asquean los perroflautas,detesto a los analfaprogres, aborrezco a los necionalistas y hostiaría a los abertxandales y su Kale Borrika.</t>
  </si>
  <si>
    <t>Mariela</t>
  </si>
  <si>
    <t>#MonederoMienteAnaRosa El verdadero Pablo Iglesias  vía @YouTube</t>
  </si>
  <si>
    <t>https://youtu.be/ovQyfpW1sYE</t>
  </si>
  <si>
    <t>caos-emergente🔻</t>
  </si>
  <si>
    <t>El aviso que hace Santiago Abascal advirtiendo de que cualquier agresión contra miembros o simpatizantes de Vox será culpa de Pablo Iglesias me recuerda demasiado a Hitler y el incendio del Reichstag... Ahí lo dejo.. #FelizFinde</t>
  </si>
  <si>
    <t>El que no sabe es un imbécil.El que sabe y calla es un criminal(Bertolt Brecht) Trabajador Social.Antropólogo Social y Cultural.Miembro del Frente Cívico. Rock</t>
  </si>
  <si>
    <t>http://caos-emergente.blogspot.com.es/</t>
  </si>
  <si>
    <t>Antonio Naranjo</t>
  </si>
  <si>
    <t>En el centro, de España</t>
  </si>
  <si>
    <t>Periodista y consultor. Hago editoriales en @ESdiario_com. Naranjo III en @herreraencope. En @EspejoPublico y @ElCascabelTRECE. Fui profesor en la Carlos III.</t>
  </si>
  <si>
    <t>https://www.esdiario.com/secciones/1/89/autor/autores.html</t>
  </si>
  <si>
    <t>Sebastián Sanchez Roca</t>
  </si>
  <si>
    <t>Pablo Iglesias: “La mejor vacuna para no volver al pasado es una república feminista”</t>
  </si>
  <si>
    <t>https://desatascosbaratos.com/pablo-iglesias-la-mejor-vacuna-para-no-volver-al-pasado-es-una-republica-feminista/</t>
  </si>
  <si>
    <t>https://pbs.twimg.com/media/DtzXhPKVYAA3TK2.jpg</t>
  </si>
  <si>
    <t>Desatascos Barcelona | 698290005 120€ | Camion Cuba Barcelona</t>
  </si>
  <si>
    <t>http://www.elsebas.net</t>
  </si>
  <si>
    <t>Macaguendieh!</t>
  </si>
  <si>
    <t>Pablo Iglesias no pide lanzar cócteles molotov a la Guardia Civil: la falsa amenaza que circula desde 2014 | Verne EL PAÍS</t>
  </si>
  <si>
    <t>https://verne.elpais.com/verne/2018/04/23/articulo/1524495712_968428.html</t>
  </si>
  <si>
    <t>Intentando descubrirme! 🙄</t>
  </si>
  <si>
    <t>#ARO7D yo no voto a Vox, hay cosas con las que no coincido pero Pablo Iglesias es peligroso y creo que busca ser acusado por incitación al odio y romper el desorden social. Siguiendo el manual de nazis, antisistemas independentistas, o radicales de extrema izquierda</t>
  </si>
  <si>
    <t>Fernando De A-A</t>
  </si>
  <si>
    <t>#AR07D @MonederoJC A qué no lo reconoce en público? Pablo Iglesias "Pido disculpas por no romper la cara a los fachas con lo...  vía @YouTube</t>
  </si>
  <si>
    <t>https://youtu.be/J89ku4EBlHc</t>
  </si>
  <si>
    <t>Lo importante es el viaje y la compañía, no el destino (sobre todo si vas en avión...) La vida está abierta. Madrid. Ya, bajo las nubes. (fotos @internauta2009)</t>
  </si>
  <si>
    <t>https://desatascos.org.es/pablo-iglesias-la-mejor-vacuna-para-no-volver-al-pasado-es-una-republica-feminista/</t>
  </si>
  <si>
    <t>https://pbs.twimg.com/media/DtzXC5CV4AYAzs0.jpg</t>
  </si>
  <si>
    <t>La izquierda en España está a la deriva, zozobrando con populismos que ni ellos mismos se creen o cumplen. Gracias a la Constitución, hoy Pablo Iglesias tiene un casoplón y toma cervezas con etarras. Eso con Maduro no pasaría. #ConstituciÓNESP</t>
  </si>
  <si>
    <t>Sebastian Sanchez</t>
  </si>
  <si>
    <t>https://www.elsebas.net/pablo-iglesias-la-mejor-vacuna-para-no-volver-al-pasado-es-una-republica-feminista/</t>
  </si>
  <si>
    <t>https://pbs.twimg.com/media/DtzW5NLVsAAh_TC.jpg</t>
  </si>
  <si>
    <t>SALUD ABUNDANCIA PROSPERIDAD PARA TODOS SOY EL QUE SOY. SOY LO QUE VEO. APRENDO ALGO NUEVO CADA MOMENTO.</t>
  </si>
  <si>
    <t>https://pbs.twimg.com/media/DtzW4V-U4AEGVmI.jpg</t>
  </si>
  <si>
    <t>New post (Pablo Iglesias: "La mejor vacuna para no volver al pasado es una república feminista") has been published on Servicio De Desatascos En Barcelona: 120 euros. 698 290 005 -</t>
  </si>
  <si>
    <t>https://pbs.twimg.com/media/DtzWha-WwAAAvR7.jpg</t>
  </si>
  <si>
    <t>El cruJJido Iberico🇪🇸#STOP ISLAM Y PODEMOS</t>
  </si>
  <si>
    <t>Buenos días ILEGALIZACION DE PODEMOS YAAA,PABLO IGLESIAS A LA CARCEL POR INCITACION AL ODIO,A QUE ESPERA FISCALIA??🇪🇸🇪🇸🇪🇸🇪🇸🇪🇸🇪🇸</t>
  </si>
  <si>
    <t>🍏Mina Ngokwami we Tabarnia EXTREMA DERECHA🇪🇸</t>
  </si>
  <si>
    <t>Camprodon, Gerona, España</t>
  </si>
  <si>
    <t>¿Support Appelle Dígame? Consulta tus dudas, conecta con Siry, saca el mayor partido a tu 📱</t>
  </si>
  <si>
    <t>http://www.amanecequenoespoco.com</t>
  </si>
  <si>
    <t>Eva YoMisma</t>
  </si>
  <si>
    <t>Pablo Iglesias habla de política ficción, los fiscales de justicia ficción... oh, qué emocionante todo!!!!!! España está que se sale de modernos!</t>
  </si>
  <si>
    <t>https://okdiario.com/espana/2018/12/05/iglesias-plantea-ciudadanos-que-ponga-encima-mesa-acuerdo-andalucia-3430367</t>
  </si>
  <si>
    <t>Cualquier otra parte</t>
  </si>
  <si>
    <t>👩🏽‍💻</t>
  </si>
  <si>
    <t>Jim Bredgis +=+=</t>
  </si>
  <si>
    <t>No hay mejor remedio para el virus del desprecio a la Constitución, en fin, que imaginar a Pablo Iglesias, Arnaldo Otegi, Pedro Sánchez y Oriol Junqueras en las sillas de Gabriel Cisneros, Miquel Roca, Gregorio Peces-Barba o Jordi Solé Tura en 1978' RT @crpandemonium: Podemos cree que los españoles son ignorantes, contrahechos, cejijuntos, fachas, maltratadores, pobres, hambrientos y oprimidos. Dice que estamos engañados y que todavía vivimos en 1945. Creen estar viendo el país y sólo se están mirando al espejo.</t>
  </si>
  <si>
    <t>https://twitter.com/crpandemonium/status/1070948838821777408
https://www.elespanol.com/opinion/columnas/20181207/constitucion-quiere-podemos/358844117_13.html</t>
  </si>
  <si>
    <t>Fitzgeraldjazz</t>
  </si>
  <si>
    <t>Las democracias europeas más avanzadas son monarquías. Pablo Iglesias busca más el modelo chavista venezolano que los modelos europeos. ¡Más cultura europea es lo que necesita! RT @ahorapodemos: "Creemos que la Constitución no puede ser una reliquia, que la institución tiene que ser un instrumento dinámico que sirva para proteger los derechos de la gente, y por eso pensamos que la Constitución se tiene que modernizar". @Pablo_Iglesias_ #40AñosDeConstitución</t>
  </si>
  <si>
    <t>Europeista, por la igualdad de los ciudadanos, por una España unida y plural. Contra la desigualdad de los independentismos, populismos y contra el cupo vasco,</t>
  </si>
  <si>
    <t>"La llamada desaforada al odio de Iglesias y sus secuaces se ha traducido en una espiral de violencia que ha acabado con destrozos urbanos y detenciones varias". 'Pablo Iglesias es el mayor enemigo de la democracia', por Tomeu Maura</t>
  </si>
  <si>
    <t>luis lopez</t>
  </si>
  <si>
    <t>Cuanto más pasta ganas, más estás dispuesto a hacer para seguir ganando lo mismo y más. Como dice Pablo Iglesias las leyes que él no ha firmado no le incumben. Y es que aunque la hipoteca sea gratis o le pagues poco y en negro al personal, el casoplon cuesta una pasta. RT @MariaJamardoC: Llámenme rara... pero que el líder de un partido que incita a no aceptar los resultados electorales, cuando le vienen mal, diga que quiere encargarse de modificar la Constitución, es una broma macabra.</t>
  </si>
  <si>
    <t>mis conocimientos son tan pocos que no me atrevo a exigirle a nadie que haga lo mismo que yo ni a prohibirle lo que a mí no me gusta</t>
  </si>
  <si>
    <t>Alvaro</t>
  </si>
  <si>
    <t>Y de jefes ponemos a pablo iglesias, Arnaldo Otegi y Puigdemont no? Una sociedad pacífica al 100% RT @ahorapodemos: "Creemos que la Constitución no puede ser una reliquia, que la institución tiene que ser un instrumento dinámico que sirva para proteger los derechos de la gente, y por eso pensamos que la Constitución se tiene que modernizar". @Pablo_Iglesias_ #40AñosDeConstitución</t>
  </si>
  <si>
    <t>Entrenador de fútbol Nivel II (Técnico deportivo grado medio) deportista incansable y CARNAVALERO al 100% (Bombo y Segunda 😏) 3x4 🎭❤️</t>
  </si>
  <si>
    <t>Fernando Rodríguez</t>
  </si>
  <si>
    <t>¿Os imagináis a Pablo Iglesias intentado explicarle a Tony Soprano lo del lenguaje inclusivo?</t>
  </si>
  <si>
    <t>Productor de televisión.</t>
  </si>
  <si>
    <t>http://Instagram.com/cangrejosciegos</t>
  </si>
  <si>
    <t>Agustí Peiró</t>
  </si>
  <si>
    <t>Pues igual Pablo Iglesias necesita ir a la peluquería, ¡no?</t>
  </si>
  <si>
    <t>Món (ciutadà del)</t>
  </si>
  <si>
    <t>Tècnic lingüista, escriptor</t>
  </si>
  <si>
    <t>http://www.europapress.es</t>
  </si>
  <si>
    <t>Pedro 🇪🇸</t>
  </si>
  <si>
    <t>Por si aun pensabas que Sanchez no era tan populista como su amo Pablo Iglesias. RT @okdiario: Pedro @SanchezCastejon pide incluir en la Constitución la igualdad entre hombres y mujeres… ¡que ya está en el art. 14 desde 1978!</t>
  </si>
  <si>
    <t>https://twitter.com/okdiario/status/1070956821794324480
https://okdiario.com/espana/2018/12/07/pedro-sanchez-reformar-constitucion-incluir-igualdad-hombres-mujeres-articulo-14-desde-hace-40-anos-3437620?utm_campaign=ok&amp;utm_medium=Social&amp;utm_source=Twitter#Echobox=1544167554</t>
  </si>
  <si>
    <t>El comunismo es la repartición equitativa de la miseria, excepto para sus líderes.</t>
  </si>
  <si>
    <t>josé manuel calzado</t>
  </si>
  <si>
    <t>Cuando no se tiene un gramo de Capacidad se hacen estos ridiculo a. Será el anuncio de la pelu a la que va Pablo Iglesias o IRENE Montero?😂😂😂😂 RT @AntonioRNaranjo: Ridículo total de Podemos con su emblema republicano: es un logo de peluquería  vía @ESdiario_com</t>
  </si>
  <si>
    <t>https://twitter.com/AntonioRNaranjo/status/1070790415329169410
https://www.esdiario.com/862555167/Ridiculo-total-de-Podemos-con-su-emblema-republicano-es-un-logo-de-peluqueria.html</t>
  </si>
  <si>
    <t>melilla</t>
  </si>
  <si>
    <t>profesor</t>
  </si>
  <si>
    <t>Dirigente podemita que hace unos meses se mudó junto a Pablo Iglesias a un chalé de lujo en la sierra de Madrid que cuenta con 268 metros construidos y una parcela de más de 2.000 metros cuadrados, piscina, amplio jardín y casa de invitados. RT @sepaesbi: Irene Montero llama a resistir al fascismo "en nuestros barrios" desde su chalet de lujo en Galapagar</t>
  </si>
  <si>
    <t>https://twitter.com/sepaesbi/status/1070960338978394114
https://okdiario.com/espana/2018/12/04/montero-llama-resistir-fascismo-nuestros-barrios-desde-casoplon-lujo-galapagar-3425854#.XAoxI_NjGoI.twitter</t>
  </si>
  <si>
    <t>David 🇪🇸</t>
  </si>
  <si>
    <t>Os da miedo Vox pero no os da miedo Pablo Iglesias y su manada de soplapollas</t>
  </si>
  <si>
    <t>😀🍻🥃⚽🇪🇸</t>
  </si>
  <si>
    <t>https://www.instagram.com/david_rmadrid88/?hl=es</t>
  </si>
  <si>
    <t>Así es el Belén que incluye desde el chalet de Pablo Iglesias, a Susana Díaz o concursantes de ‘OT’ #OTDirecto7DIC</t>
  </si>
  <si>
    <t>https://pbs.twimg.com/media/DtzSnCSWoAAT8hl.jpg</t>
  </si>
  <si>
    <t>Las bajadas de impuestos del gobierno en 2015 aún sufren la amenaza de las muchas torpezas de Pablo Iglesias en La Sexta Noche</t>
  </si>
  <si>
    <t>La COPE fulmina a Podemos: “muchos etarras tenían el teléfono de Pablo Iglesias”  vía @ESdiario_com</t>
  </si>
  <si>
    <t>https://www.esdiario.com/363107544/La-COPE-fulmina-a-Podemos-muchos-etarras-tenian-el-telefono-de-Pablo-Iglesias.html</t>
  </si>
  <si>
    <t>ATGIE</t>
  </si>
  <si>
    <t>Pablo Iglesias ante el juez por terrorismo callejero y robar a los Venezolanos. RT @okdiario: ▶️ @okdiario entrevista al dueño del local destrozado en Cádiz: “Nada hubiera ocurrido sin el llamamiento de Podemos” Por @raqueltejero_ 👇</t>
  </si>
  <si>
    <t>To hang out with my friends</t>
  </si>
  <si>
    <t>Carlos DPF</t>
  </si>
  <si>
    <t>🔴 Pablo Iglesias: 'Me da vergüenza como español que exista VOX' Es comprensible. A muchos millones de españoles nos causa vergüenza, asco e indignación que exista PODEMOS. 🖕🏼</t>
  </si>
  <si>
    <t>Rebus sic stantibus</t>
  </si>
  <si>
    <t>xfastidiar</t>
  </si>
  <si>
    <t>Pablo Iglesias contrapone "el republicanismo feminista" al discurso de Felipe VI en el aniversario de la Constitución</t>
  </si>
  <si>
    <t>La Tierra</t>
  </si>
  <si>
    <t>No hay extensión más grande q mi herida, lloro mi desventura y sus conjuntos y siento más tu muerte q mi vida. (M. Hernández)</t>
  </si>
  <si>
    <t>http://www.mugak.eu</t>
  </si>
  <si>
    <t>"Es un error creer que la defensa de la Monarquía es la defensa de España; la defensa de España son los derechos sociales y la justicia social, no la defensa de determinadas instituciones", indica @agarzon @IUnida @ElPCE @Elba_Celo @Pablo_Iglesias</t>
  </si>
  <si>
    <t>La TV de Pablo Iglesias ha recibido 9,3 millones del Gobierno de Irán desde paraísos fiscales</t>
  </si>
  <si>
    <t>https://okdiario.com/investigacion/2016/01/13/tv-pablo-iglesias-recibido-93-millones-del-gobierno-iran-desde-paraisos-fiscales-52923#.W_8BhW9HeyI.facebook</t>
  </si>
  <si>
    <t>Fyah.</t>
  </si>
  <si>
    <t>Si tu novia: -Quiere bienes gananciales. -No cumple lo que promete. -No se arregla cuando sale. -Te la lía cuando no está de acuerdo. -Tiene frizz. .... Déjame decirte que no es tu novia, es Pablo Iglesias.</t>
  </si>
  <si>
    <t>Crítico de la sociedad moderna. Estudiante. Es mi opinión, no la tuya.</t>
  </si>
  <si>
    <t>Luisesel</t>
  </si>
  <si>
    <t>VOX =Valentía. No nos gana nadie. Todo mi apoyo a los compañeros de VOX Lorca y los valientes que cada día sufren en toda España la intolerancia, el odio y la violencia de los verdaderamente fascistas, la extrema izquierda podemita de @Pablo_Iglesias. #AnimoValientes RT @Vox_Murcia: 📣La llamada al odio por parte de Pablo Iglesias, a sus cachorros de ✊extrema izquierda llega a la #Región, concretamente a #Lorca. Todo nuestro apoyo a los compañeros de @vox_lorca.Los ataques de los totalitarios, no quedarán impunes.#EspañaViva</t>
  </si>
  <si>
    <t>https://twitter.com/Vox_Murcia/status/1070950586147897350
https://www.laverdad.es/murcia/miembros-denuncian-haber-20181207005415-ntvo.html</t>
  </si>
  <si>
    <t>Apoyo a VOX para salvar a España de todos sus traidores y dañinos políticos actuales. Coordinador de VOX en Cartagena.</t>
  </si>
  <si>
    <t>https://www.elconfidencial.com/espana/2018-12-06/aniversario-constitucion-pablo-iglesias-podemos-rey-juan-carlos_1690826/?utm_campaign=BotoneraWebapp&amp;utm_source=twitter&amp;utm_medium=social</t>
  </si>
  <si>
    <t>josemariadelaasuncio</t>
  </si>
  <si>
    <t>Al impresentable de Pablo Iglesias habría que pararle los pies y decirle cuatro verdades porque se le está subiendo la bilis al entrecejo, y eso de arengar a las masas no debería ser gratis, y encima le hacen la ola, se está incubando mucho odio en España.</t>
  </si>
  <si>
    <t xml:space="preserve">TORRIJOS, TOLEDO. ESPAÑA. </t>
  </si>
  <si>
    <t>AMO ESPAÑA.QUIERO HONRADEZ,Y GENTE RESPONSABLE,ADORO A LA FAMILIA,LO MEJOR DE MI VIDA .</t>
  </si>
  <si>
    <t>Daniel Bernal</t>
  </si>
  <si>
    <t>Pablo Iglesias el demócrata, menudo cinismo. A la hora de hablar. RT @arturelpayaso2: Pablo Iglesias en La Sexta: "Me da vergüenza como español que la extrema derecha esté en las instituciones". Pues sí, señoras y señores, pedazo de titular: Pablo Iglesias es español.</t>
  </si>
  <si>
    <t>Berenice 🏳‍🌈</t>
  </si>
  <si>
    <t>Yo oí hablar de los GAL (sólo, del resto nada) cuando Pablo Iglesias dijo lo de la cal viva. Mis padres se rieron de mí y NORMAL, porque es que real que yo estudié HISTORIA (del arte, pero había historia igualmente). RT @BHMental: Me gustaría que difundierais esto y contestaseis, sobre todo los del 90 en adelante: 1. ¿Os hablaron de esto en el instituto? 2. ¿Os lo ha contado alguien de vuestro entorno? 3. ¿Sabíais algo de esto aparte de que os suenen algunos nombres?</t>
  </si>
  <si>
    <t>https://twitter.com/BHMental/status/1070680289591132160</t>
  </si>
  <si>
    <t>https://pbs.twimg.com/media/DtvSBRLW4AAiYwC.jpg</t>
  </si>
  <si>
    <t>Ponferrada</t>
  </si>
  <si>
    <t>¡Eh! ¡Tú! Aquí, mírame. ¡Eh! ¡Escúchame! ¡EH! Nada, mejor déjalo. Sigue con tus cosas. http://oceanodearte.tumblr.com</t>
  </si>
  <si>
    <t>http://erosyarte.blogspot.com/</t>
  </si>
  <si>
    <t>Pedro Sánchez, Pablo Iglesias, Susana Díaz, Teresa Rodríguez, Casado, Rivera ¿ Por Qué motivo consideran que se han de dar el voto de confianza a los partidos secesionistas e independistas de Cataluña o a los suyos , en Vez de a VOX?</t>
  </si>
  <si>
    <t>ANTONIO PASTOR</t>
  </si>
  <si>
    <t>Ayer observé un detalle de Pablo Iglesias que lo define bien como es. Fue a la entrada en el Congresos de los Reyes cuando ordena a sus congresistas que se levanten pero no aplaudan, todo un gesto para que puedan ejercer libremente lo que quieran hacer. Y presume de demócrata</t>
  </si>
  <si>
    <t>El Campello</t>
  </si>
  <si>
    <t>Enemigo de toda clase de abusos que cometen algunos politicos y empresarios http://www.bartrom.com</t>
  </si>
  <si>
    <t>http://www.bartrom.com</t>
  </si>
  <si>
    <t>Berk #UnidasPodemos 🔻</t>
  </si>
  <si>
    <t>Pablo Iglesias contrapone "el republicanismo feminista" al discurso de Felipe VI en el aniversario de la Constitución. #OlvidadosEnLaCafetera  vía @eldiarioes</t>
  </si>
  <si>
    <t>Fuimos, somos y seremos migran</t>
  </si>
  <si>
    <t>¿Y cómo explica una madre a sus hijas que vota por quienes quieren privar a las mujeres de sus derechos y libertades mientras justifican que sean agredidas?</t>
  </si>
  <si>
    <t>- Pablo iglesias ( el caudillo ) - dando la nota como siempre - ya casi no llama la...</t>
  </si>
  <si>
    <t>https://www.elconfidencial.com/espana/2018-12-06/rajoy-estrella-corrillos-congreso-40-aniversario-constitucion_1691026/?utm_source=facebook&amp;utm_medium=social&amp;utm_campaign=BotoneraWeb</t>
  </si>
  <si>
    <t>Podemos Cazorla</t>
  </si>
  <si>
    <t>Discurso de Pablo Iglesias en el Ateneo de Madrid Por una República feminista!</t>
  </si>
  <si>
    <t>🇪🇸NACIONAL | El logo de @ahoraPodemos para contrarrestar los actos del 40 aniversario de la Constitución (que presentó Pablo Iglesias en Twitter) pertenece a un servicio que permite su adquisición por menos de 2 euros y que está originariamente pensado para salones de belleza</t>
  </si>
  <si>
    <t>Almería, Andalucía</t>
  </si>
  <si>
    <t>https://pbs.twimg.com/media/DtzO8EJWkAA9c6A.jpg</t>
  </si>
  <si>
    <t>1/3. Pablo Iglesias 17 de octubre de 1978, edad 40 años, Español, no Venezolano. Hijo de militantes de izquierdas que lucharon contra Franco, por un país Democrático. El 6 de Dic de 1978, día en que se hizo la Constitución Democrática Española, tenia apenas 2 meses... ....</t>
  </si>
  <si>
    <t>https://pbs.twimg.com/media/DtzN7I4XcAAgRc_.jpg</t>
  </si>
  <si>
    <t>Violeta80</t>
  </si>
  <si>
    <t>A saber donde!!</t>
  </si>
  <si>
    <t>No hablo por mensaje privado. GRACIAS!!!😁😁</t>
  </si>
  <si>
    <t>Teresa García Sena</t>
  </si>
  <si>
    <t>https://m.europapress.es/nacional/noticia-pablo-iglesias-critica-discurso-decepcionante-rey-ovacion-sobreactuada-juan-carlos-20181206140752.html</t>
  </si>
  <si>
    <t>Candidata del PP Valencia al Congreso</t>
  </si>
  <si>
    <t>#OlvidadosEnLaCafetera: no olvidemos el chalé que te cagas de Pablo Iglesias e Irene Montero.</t>
  </si>
  <si>
    <t>Mayte Cortés</t>
  </si>
  <si>
    <t>El gilipollas Pablo Iglesias se desespera al quedarse solo en su "cacería" al Rey Juan Carlos - ESdiario.</t>
  </si>
  <si>
    <t>Coruñesa, cordobesa y Española. Viva España!!🇪🇸 Bloqueada por P. Iglesias el coletas, el asesino Otegui, el fascista Torra, Antonio Maestre.. 💪 💙🇪🇸 No MD</t>
  </si>
  <si>
    <t>Sita</t>
  </si>
  <si>
    <t>Igual todavía no sabéis cómo funciona esto, pero el mobiliario público y todo lo que estáis destrozando no lo paga Santiago Abascal, ni Susana Díaz, ni Pablo Iglesias, ni Carmena, ni Pedro Sánchez, ni Pablo Casado. Aunque no os llegue la factura a casa, LO PAGAMOS NOSOTROS.</t>
  </si>
  <si>
    <t>Provinciana secuestrada en Madrí. Muy cántabra. Aún queda algo de Cafeína.</t>
  </si>
  <si>
    <t>Pedro Sánchez, Pablo Iglesias, Susana Díaz, Teresa Rodríguez, Casado, Rivera Soy Cristiano , Monárquico , quiero para mi Patria seguridad de las fronteras y Paz para sus ciudadanos ¿Qué hacen sus partidos en esto ?</t>
  </si>
  <si>
    <t>Politikeo</t>
  </si>
  <si>
    <t>https://casoaislado.com/los-espanoles-piden-la-detencion-pablo-iglesias-instigador-las-violentas-manifestaciones-andalucia/</t>
  </si>
  <si>
    <t>Paco Luis</t>
  </si>
  <si>
    <t>Los líderes del 'procés' exigen en bloque al Supremo que el juicio sea en Cataluña. ¿Habrá ya acuerdo con Pedro Sánchez y Pablo Iglesias para votar el plan general económico a cambio de esta pantomima de juicio que quieren los golpistas?  vía @indpcom</t>
  </si>
  <si>
    <t>https://www.elindependiente.com/politica/2018/12/07/los-lideres-del-proces-exigen-bloque-al-supremo-juicio-sea-cataluna/?utm_source=share_buttons&amp;utm_medium=twitter&amp;utm_campaign=social_share</t>
  </si>
  <si>
    <t>Los políticos están por debajo de la media moral e intelectual de los ciudadanos, pero están al nivel de sus votantes</t>
  </si>
  <si>
    <t>Berta García Bilbao</t>
  </si>
  <si>
    <t>https://ift.tt/2G5MQ2I</t>
  </si>
  <si>
    <t>Un vaso medio vacío de vino es también uno medio lleno, pero una mentira a medias, de ningún modo es una media verdad</t>
  </si>
  <si>
    <t>Ivan Ivanovich Kisiakov</t>
  </si>
  <si>
    <t>hay muchos más de 400.000 españoles hasta la polla que votarán VOX en las próximas europeas, municipales y generales. Enhorabuena a todos los barandas como @pnique , @Irene_Montero_ , Pablo Iglesias, @agarzon, @TeresaRodr_ , @amaillo @elisabeni ...........Que lo han conseguido.</t>
  </si>
  <si>
    <t>JOSÉ MARÍA ARMESTO</t>
  </si>
  <si>
    <t>"Nace un fascista". La carta abierta a Pablo Iglesias que se hace viral tras las elecciones andaluzas  vía @sevillainf</t>
  </si>
  <si>
    <t>Bilbao-Pais Vasco-España</t>
  </si>
  <si>
    <t>QUIETUD Y GRATITUD ANTÍDOTOS CONTRA INCREDULIDAD Y QUEJA; CUANDO SE APLICA LA QUIETUD AL MIEDO PRODUCE PAZ, CUANDO SE APLICA ALABANZA A LA QUEJA, PRODUCE GOZO.</t>
  </si>
  <si>
    <t>http://txemarmesto.blogspot.com</t>
  </si>
  <si>
    <t>Carlos Contreras🇻🇪</t>
  </si>
  <si>
    <t>Pablo Iglesias: “El discurso del Rey ha sido decepcionante”</t>
  </si>
  <si>
    <t>https://ift.tt/2PpwFg2</t>
  </si>
  <si>
    <t>Maracaibo, Venezuela</t>
  </si>
  <si>
    <t>Diseñador sin certificar. Periodista en formación, Voice Over y Community Manager. Mi filosofía es simple: #Soñar para #Vivir y luego #Reírte de tus errores.</t>
  </si>
  <si>
    <t>http://www.instagram.com/Contrescarlos</t>
  </si>
  <si>
    <t>Jose Maria Cepeda</t>
  </si>
  <si>
    <t>Entre todos podemos ¡Vamos España!</t>
  </si>
  <si>
    <t>Onda Cero</t>
  </si>
  <si>
    <t>https://ift.tt/2rlUqMx</t>
  </si>
  <si>
    <t>Para k veas</t>
  </si>
  <si>
    <t>Pablo Iglesias. Cada vez que hablas sube el pan. Y es para ofender al Rey, a la Monarquia, a los españoles. Te estás tomando la justicia por tu mano y eso no es bueno. Te estás metiendo con la constitución y con el bienestar de los españoles. Pues te diré algo. No lo conseguireis</t>
  </si>
  <si>
    <t>Julio Ganguita 🇪🇸</t>
  </si>
  <si>
    <t>Iglesias critica el discurso "decepcionante" del Rey y rechaza la ovación a Juan Carlos I</t>
  </si>
  <si>
    <t>https://www.elconfidencial.com/espana/2018-12-06/aniversario-constitucion-pablo-iglesias-podemos-rey-juan-carlos_1690826/</t>
  </si>
  <si>
    <t>Cabra, España</t>
  </si>
  <si>
    <t>La corrupción en España solo puede solucionarla el detective Colombo.</t>
  </si>
  <si>
    <t>moly</t>
  </si>
  <si>
    <t>Pablo Iglesias contrapone "el republicanismo feminista" al discurso de Felipe VI en el aniversario de la Constitución -</t>
  </si>
  <si>
    <t>https://m.eldiario.es/32458238_843416120/</t>
  </si>
  <si>
    <t>Vivo en las fosas marianas...</t>
  </si>
  <si>
    <t>un paseo x el mundo virtual es menos jodido q x el real...</t>
  </si>
  <si>
    <t>Jaime Donoso Lorenzo</t>
  </si>
  <si>
    <t>Hoy a quedado clar que podemos sobra como partido político y Pablo iglesias como persona #ConstitucioNESP</t>
  </si>
  <si>
    <t>Me gusta debatir de política, siempre intento añadirle sentido común a las cosas.</t>
  </si>
  <si>
    <t>Miguel De La Torre</t>
  </si>
  <si>
    <t>Recoedamos que el hipócrita y belicista Pablo iglesias dice que portar armas de fuego "es uno de los derechos fundamentales de la democracia"</t>
  </si>
  <si>
    <t>nací, crecí, morí (bueno, eso todavía no... creo).</t>
  </si>
  <si>
    <t>paco garcía jurado</t>
  </si>
  <si>
    <t>Entre otras cosas, se habla acerca del parecido físico entre Menéndez Pelayo y Pablo Iglesias (el histórico)</t>
  </si>
  <si>
    <t>https://www.youtube.com/watch?v=1JG0LDBkjz4</t>
  </si>
  <si>
    <t>Pedro Sánchez, Pablo Iglesias, Susana Díaz, Teresa Rodríguez, Casado, Rivera No les he votado a ninguno de ustedes ,ni a sus partidos ¿Por qué debería de cambiar de opinión , votarles y defender su opción política?</t>
  </si>
  <si>
    <t>📣La llamada al odio por parte de Pablo Iglesias, a sus cachorros de ✊extrema izquierda llega a la #Región, concretamente a #Lorca. Todo nuestro apoyo a los compañeros de @vox_lorca.Los ataques de los totalitarios, no quedarán impunes.#EspañaViva</t>
  </si>
  <si>
    <t>Enrique 🇪🇸🇪🇸</t>
  </si>
  <si>
    <t>Para Pablo Iglesias &amp; Co " todos los españoles que votan opciones independentistas, comunistas ó podemitas, son iguales ante la ley; al resto de españoles, ya os pillaremos putos fascistas "</t>
  </si>
  <si>
    <t>L.Madina ✡✝✡</t>
  </si>
  <si>
    <t>Pablo Iglesias: 'Me da vergüenza como español que exista VOX  vía @MediterraneoDGT</t>
  </si>
  <si>
    <t>Las Rozas (Madrid)</t>
  </si>
  <si>
    <t>Liberal hasta la médula, con más fuerza que nunca ante este bodrio legal pero ilegítimo. Mi sitio preferido para perderme el paseo marítimo de Tel Aviv.</t>
  </si>
  <si>
    <t>Carta de Santiago Abascal a Pablo Iglesias..</t>
  </si>
  <si>
    <t>https://pbs.twimg.com/media/DtzHLJeX4AYIld-.jpg</t>
  </si>
  <si>
    <t>Zero</t>
  </si>
  <si>
    <t>"El árbol se conoce por sus frutos". Pablo Iglesias De tal palo tal astilla...</t>
  </si>
  <si>
    <t>https://pbs.twimg.com/media/DtzHD5-W0AAlKYz.jpg</t>
  </si>
  <si>
    <t>Miro siempre por la mirilla antes de abrir la puerta. Creando nuestro futuro.</t>
  </si>
  <si>
    <t>ANGELA-007</t>
  </si>
  <si>
    <t>A VECES ANGEL A VECES DEMONIO...PERO SIEMPRE HAGO LO QUE MESALELKONIO</t>
  </si>
  <si>
    <t>EL MENTALISTA</t>
  </si>
  <si>
    <t>Como puede Otegui advertir del "peligro de Abascal", como puede pensar Pablo Iglesias, los CDR y compañía que le podrán amedrentar, como puede Echenique criticar que lleve pistola, como puede el estado decir que es fascista y totalitario, Alguien que recibía este tipo de cartas?</t>
  </si>
  <si>
    <t>https://pbs.twimg.com/media/DtzFovPWoAA42NH.jpg</t>
  </si>
  <si>
    <t>valencia</t>
  </si>
  <si>
    <t>Primer premio mundial de mentalismo FISM http://youtube.com/elmentalistatv</t>
  </si>
  <si>
    <t>http://www.javierbotia.com</t>
  </si>
  <si>
    <t>PABLO IGLESIAS MIENTE Y LO SABE | "La Constitución tiene que apostar por la igualdad, fraternidad buenas justicia social, y eso en 2018 se llama República." - República del Congo? - República Bolivariana de Venezuela Te lo explicamos en el siguiente hilo👇👇👇</t>
  </si>
  <si>
    <t>pic.twitter.com/mlYPjeghQY</t>
  </si>
  <si>
    <t>Pedro Sánchez, Pablo Iglesias, Susana Díaz, Teresa Rodríguez, Casado, Rivera ¿Por Qué motivo quienes le han dado el voto de confianza a ustedes o sus partidos, se lo han de dar de nuevo?</t>
  </si>
  <si>
    <t>Carlos J. García Gon</t>
  </si>
  <si>
    <t>¿Sabias que Podemos se organiza mediante lo que llaman "círculos"?. ¿Sabias que esa organización es la misma con la que se organizaban las juventudes Hitlerianas?</t>
  </si>
  <si>
    <t>https://m.europapress.es/nacional/noticia-pablo-iglesias-decreta-alerta-antifascista-llama-movilizacion-contra-postfranquistas-vox-20181202233123.html</t>
  </si>
  <si>
    <t>Profesionales Éticos</t>
  </si>
  <si>
    <t>Al Comunista retrogrado Pablo Iglesias le cantan sus cuatro verdades.. #España debe liberarse de personajes como este que solo buscan el poder para destruirla ..</t>
  </si>
  <si>
    <t>pic.twitter.com/6ZZnzsXUe7</t>
  </si>
  <si>
    <t>Un mundo mejor, donde la ética sea el norte y el respeto por los valores sea un logro alcanzable, es nuestro lema todos los días!.</t>
  </si>
  <si>
    <t>yayogames&amp;films</t>
  </si>
  <si>
    <t>Me ha gustado un vídeo de @YouTube ( - Santiago Abascal: 'Deseamos que Pablo Iglesias siga insultándonos</t>
  </si>
  <si>
    <t>http://youtu.be/ICi8x1lwVD4?a</t>
  </si>
  <si>
    <t>me gusta la tecnologia,los videojuegos, el cine y la musica,tambien por supuesto el futbol,aficionado del Valencia c</t>
  </si>
  <si>
    <t>Carlos Elías</t>
  </si>
  <si>
    <t>Tenía que haberle hecho el discurso Pablo Iglesias. RT @eldiarioes: La memoria histórica, las víctimas de la crisis, la amenaza de la extrema derecha y otras ausencias del discurso de Felipe VI sobre la Constitución  Un análisis de @andresgil</t>
  </si>
  <si>
    <t>https://twitter.com/eldiarioes/status/1070945507000823809
https://www.eldiario.es/politica/historica-ausencias-Felipe-VI-Constitucion_0_843415883.html</t>
  </si>
  <si>
    <t>https://pbs.twimg.com/media/DtzCjugWsAAgeqJ.jpg</t>
  </si>
  <si>
    <t>Montaigne: Por muy alto que sea el trono siempre está sentado sobre el culo. Del Atleti. Música, libros, viajes y el personal con sentido del humor.</t>
  </si>
  <si>
    <t>Regen Bogen</t>
  </si>
  <si>
    <t>No te enteras, @ruben_amon. La psicosis patriótica la tienen los CDR, Torra, Otegi. Y han llegado demasiado lejos apoyados por el verdadero totalitario español, que es Pablo Iglesias. Lo que está pasando es una sanísima reacción de la España cívica, no de sus politiquillos. RT @golorico: En este artículo @Ruben_Amon vuelve a evidenciar que no lo pilla: "Vox es un movimiento político sobrepasado por la indignación de sus votantes en la psicosis patriótica". Psicosis. Veamos qué dice el diccionario.</t>
  </si>
  <si>
    <t>https://twitter.com/golorico/status/1070940195279855616</t>
  </si>
  <si>
    <t>https://pbs.twimg.com/media/Dty-bMSXQAApm63.jpg</t>
  </si>
  <si>
    <t>Bilbao 'Nos movemos siempre entre situaciones límite, pero yo limito sólo con el viento' Blas de Otero. Las diferencias nos unen. ¡Fuera el cupo vasco!</t>
  </si>
  <si>
    <t>Coheiriente</t>
  </si>
  <si>
    <t>Tiempos de intolerancia y caza... Me gustaría conocer la opinión de Pablo Iglesias si hubiera sufrido semejante situación. Inaceptable. En cualquier caso. RT @DeMarichalar: En Gerona (donde he venido para apoyar la conmemoración del 40 Aniversario de la Constitución ) he sufrido la cobarde y brutal agresión de un grupo de compatriotas enfermos de odio.. Les perdono sintiendo pena de comprobar los efectos del sectarismo neoestalinista/neonazi “CDR”</t>
  </si>
  <si>
    <t>https://twitter.com/DeMarichalar/status/1070665024480403457</t>
  </si>
  <si>
    <t>Si alguna de las cosas que comento te molesta seguramente hay alguna inconsistencia. O en mis argumentos o en tus creencias. Cabe también mi error.</t>
  </si>
  <si>
    <t>J.A.G.</t>
  </si>
  <si>
    <t>https://okdiario.com/espana/2018/12/05/foros-militancia-podemos-arden-contra-iglesias-pablo-callate-haz-autocritica-3427399#.XAoilIR0h7w.twitter</t>
  </si>
  <si>
    <t>Entrevista a Albert Rivera RIVERA es MÁS PELIGROSO que PABLO IGLESIAS 🔔 BUSCANDO LA SOLUCIÓN, 🔉 ESTAR EN CAMPAÑA,</t>
  </si>
  <si>
    <t>https://goo.gl/LgNNqq?pls71=4818229278</t>
  </si>
  <si>
    <t>https://pbs.twimg.com/media/DtzA-r5WsAAw1by.jpg</t>
  </si>
  <si>
    <t>Quim Jong Puch 🎗🚜🇨🇺</t>
  </si>
  <si>
    <t>Pablo Iglesias: "a la jefatura del estado no se debe llegar por fecundación" mientras que la posición que ocupan las mujeres en el partido depende de su cremallera. Hipocresía en estado puro.</t>
  </si>
  <si>
    <t>General de los Mossos d'Escuadra y Caudillo de Cataluña por la Gracia de Dios. Creando lazis since 1962. 🎗🚜🇨🇺</t>
  </si>
  <si>
    <t>MacArtur ✩✩✩✩✩</t>
  </si>
  <si>
    <t>🇪🇸 Harto de la cobardía política en la defensa de España y los españoles🇪🇸 Polilla LX🇪🇸 ☭ NO ☭‼️🇪🇸 Del Atleti.</t>
  </si>
  <si>
    <t>benedicto</t>
  </si>
  <si>
    <t>No, queridos amigos,el nuevo logo introducido por la banda podemos ayer durante la conmemoración del 40 aniversario de la constitución del 78, no trata de ensalzar el feminismo. Si se fijan bien en la imagen verán es el perfil de Pablo Iglesias idealizado y con la coleta suelta.</t>
  </si>
  <si>
    <t>https://pbs.twimg.com/media/DtzAeRgX4AA2w7a.jpg</t>
  </si>
  <si>
    <t>Dicen que soy facha.</t>
  </si>
  <si>
    <t>Es la incontinencia verbal por impotencia ante lo que un hecho manifiesta; tu debilidad intelectual. Recurrir a...</t>
  </si>
  <si>
    <t>https://www.elcorreodemadrid.com/opinion/664987103/Espero-que-no-me-haga-responsable-de-sus-hemorroides-Pablo-Iglesias-a-Santiago-Abascal.-Por-Verdades-Ofenden.html</t>
  </si>
  <si>
    <t>Yoda Republicano</t>
  </si>
  <si>
    <t>Vitoria-Gasteiz, Euskadi</t>
  </si>
  <si>
    <t>“El miedo es el camino hacia el Lado Oscuro, el miedo lleva a la ira, la ira lleva al odio, el odio lleva al sufrimiento. Veo mucho miedo en ti.” ⛔️🚫MD🚫⛔️</t>
  </si>
  <si>
    <t>https://www.youtube.com/channel/UCY60GBj-H8SmayRG1UgDVWw</t>
  </si>
  <si>
    <t>Begardegua</t>
  </si>
  <si>
    <t>¿Cuándo va Pablo Iglesias a declarar el fin de la "alerta antifascista"?</t>
  </si>
  <si>
    <t>Roberto Ferreiro</t>
  </si>
  <si>
    <t>Pablo Iglesias contrapone "el republicanismo feminista" al discurso de Felipe VI en el aniversario de la Constitución. La España que se está pariendo, cada vez con más base social, será feminista y republicana.  vía @eldiarioes</t>
  </si>
  <si>
    <t>Deportista y partidario de la Justicia Social.</t>
  </si>
  <si>
    <t>Racle7</t>
  </si>
  <si>
    <t>https://okdiario.com/espana/2018/11/15/gonzalez-sobre-fuerza-iglesias-gobierno-si-fuera-presidente-no-gustaria-3353625#.XAoeEJwZ5no.twitter</t>
  </si>
  <si>
    <t>Si apestas a separatista,rojo antipatriota o persona de mal vivir,no te acerques a mi.A veces NO COMPARTO lo que retuiteo.Orgulloso de ser ESPAÑOL.</t>
  </si>
  <si>
    <t>Egg Stark</t>
  </si>
  <si>
    <t>Ana Guerra valdria para la politica, porque la demagogia que se gasta para promocionarse es digna de Albert Rivera o Pablo Iglesias</t>
  </si>
  <si>
    <t>Don't be yourself, be a pizza. Everyone loves pizza. Don't follow me, I'm lost</t>
  </si>
  <si>
    <t>Podemos Casasimarro</t>
  </si>
  <si>
    <t>Es hora del cambio #SiSePuede</t>
  </si>
  <si>
    <t>Más De Uno</t>
  </si>
  <si>
    <t>🔴 #ElMonólogoDeAlsina: "A Pablo Iglesias le parece siempre decepcionante que el Rey no haga el discurso que él haría si fuera monarca" ▶️</t>
  </si>
  <si>
    <t>https://www.ondacero.es/directo/</t>
  </si>
  <si>
    <t>https://pbs.twimg.com/media/Dty85z4WoAAdWBP.jpg</t>
  </si>
  <si>
    <t>Información y entretenimiento con @carlos__alsina. De lunes a viernes de 6:00 a 12:30 en @OndaCero_es.</t>
  </si>
  <si>
    <t>http://www.ondacero.es/masdeuno/</t>
  </si>
  <si>
    <t>“Pablo Iglesias que juega de nuevo la baza de presentarse como oposición al Rey de España.” Alsina.</t>
  </si>
  <si>
    <t>luis jose</t>
  </si>
  <si>
    <t>ciudad real</t>
  </si>
  <si>
    <t>Toni Català</t>
  </si>
  <si>
    <t>#40AñosdeConstitución #Lasilenciosacat #SIaLaCartaMagna Esta es la gent de pau que quiere gobernar Catalunya... Esta es la gent de pau que manda el puto Pablo Iglesias y el desgraciado de @QuimTorraiPla a apretar. Da igual de quien sea el negocio que revienta, son unos hdlgp. RT @Bcnisnotcat_: ¡¡ATENCIÓN!! Pedimos ayuda a toda #España. Los separatistas están provocando altercados en toda Cataluña. Han escogido el día de la Constitución para tomar las calles. Los medios lo silencian. Ya no podemos más. EXIJIMOS QUE SE APLIQUE EL ARTÍCULO 155. A qué espera el presidente?</t>
  </si>
  <si>
    <t>https://twitter.com/Bcnisnotcat_/status/1070801745968852992</t>
  </si>
  <si>
    <t>Seny i convivència!!</t>
  </si>
  <si>
    <t>Sin políticos decentes 🇪🇸</t>
  </si>
  <si>
    <t>#FelizViernes A ti mujer, azotarla hasta sangrar. Declaraciones Pablo Iglesias. Para @anarosaq es Izquierda. Denunciar golpistas catalanes. Gracias a esa denuncia hoy estan en la cárcel los golpistas. Para @anarosaq son extrema derecha. Las confluencias y su jardín</t>
  </si>
  <si>
    <t>https://pbs.twimg.com/media/Dty4y2RX4AAdLnP.jpg</t>
  </si>
  <si>
    <t>Humor</t>
  </si>
  <si>
    <t>http://youtu.be/lvoWuhjjAUg 🇪🇸</t>
  </si>
  <si>
    <t>Garzón y Pablo Iglesias que ayer criticaban nuestra Constitución hoy felicitarán a Maduro.</t>
  </si>
  <si>
    <t>https://pbs.twimg.com/media/Dty4vwQXQAAzOgS.jpg</t>
  </si>
  <si>
    <t>La payasada casposa de Podemos: les cuelan un logo para la República que ya usó una marca de champú</t>
  </si>
  <si>
    <t>Juan Alonso</t>
  </si>
  <si>
    <t>La república supondría que un ser tan mediocre y abyecto como Pablo Iglesias podría ser el Jefe se Estado... O Aznar, que tanti da. RT @lextresabogados: 🤔 Pablo_Iglesias_ reivindica la República en el acto con los Reyes y evita saludar a Felipe VI en el #DiaDeLaConstitucion.</t>
  </si>
  <si>
    <t>https://twitter.com/lextresabogados/status/1070883131480268800
http://lrzn.es/hkasn3</t>
  </si>
  <si>
    <t>https://pbs.twimg.com/media/DtyKiFdWkAAdJz3.jpg</t>
  </si>
  <si>
    <t>Decididamente, soy TABARNÉS.</t>
  </si>
  <si>
    <t>Fco.Javier de Miguel</t>
  </si>
  <si>
    <t>Dentro de la política de expansión de SIB Group, inauguramos nuevas instalaciones en Barcelona (Ronda Guinardó, 54) y Mataró (Pablo Iglesias, 63). Se suman a los centros de Zaragoza, Madrid, Sabadell y Barcelona.</t>
  </si>
  <si>
    <t>https://lnkd.in/g_3tguS</t>
  </si>
  <si>
    <t>Cervelló, España</t>
  </si>
  <si>
    <t>Nada</t>
  </si>
  <si>
    <t>U. SINDICAL ESPAÑOLA</t>
  </si>
  <si>
    <t>Cuanto más nos golpean los nazis de Pablo Iglesias, más fuertes nos hacemos, en pueblos que éramos 700 ahora somos 2500. Vox España.</t>
  </si>
  <si>
    <t>Elche, Comunidad Valenciana</t>
  </si>
  <si>
    <t>SINDICATO ESPAÑOL DE TRABAJADORES DE DERECHAS. (U.S.E) UNIÓN SINDICAL ESPAÑOLA</t>
  </si>
  <si>
    <t>Juan A. Escolano</t>
  </si>
  <si>
    <t>Cuanto más nos golpean los nazis de Pablo Iglesias, más fuertes nos hacemos, en pueblos que éramos 700 y somos 2500.</t>
  </si>
  <si>
    <t>Elche - Alicante</t>
  </si>
  <si>
    <t>contable</t>
  </si>
  <si>
    <t>Mirad al Rey y acto seguido a Pablo Iglesias.... Quién queréis que os represente ante el Mundo? Pues eso!😜</t>
  </si>
  <si>
    <t>#LaSilenciosaCat #EleccionesGeneralesYa #YoNoSoyFachaSoyEspañol #SIaLaCartaMagna #SinComplejos Son ridículos ...  vía @Periodistadigit</t>
  </si>
  <si>
    <t>La payasada casposa de Podemos: les cuelan un logo para la República que ya empleó una marca de champú</t>
  </si>
  <si>
    <t>vikuku</t>
  </si>
  <si>
    <t>UNOS COLEGUIS PARA PONER ESPAÑA EN LA VANGUARDIA 😳😳😳!! Un converso al islam, semianalfabetos, un paellero... los estrafalarios rivales de Pablo Iglesias en Podemos | Periodista Digital</t>
  </si>
  <si>
    <t>https://www.periodistadigital.com/politica/partidos-politicos/2018/12/06/un-converso-al-islam-un-analfabeto-un-cocinero-de-paellas-los-estrafalarios-rivales-de-pablo-iglesias-en-podemos.shtml</t>
  </si>
  <si>
    <t>Me flipa la aviación</t>
  </si>
  <si>
    <t>Carmen Lara</t>
  </si>
  <si>
    <t>Marketing Online Specialist</t>
  </si>
  <si>
    <t>https://www.linkedin.com/pub/carmen-lara/3b/a08/b28</t>
  </si>
  <si>
    <t>@petruca4</t>
  </si>
  <si>
    <t>No es para menos...</t>
  </si>
  <si>
    <t>http://www.diarioalcazar.com/2018/12/pablo-iglesias-podria-ser-juzgado-por.html?m=1</t>
  </si>
  <si>
    <t>Heidelberg, Baden-Württemberg</t>
  </si>
  <si>
    <t>Leia</t>
  </si>
  <si>
    <t>Joel D. Hirst</t>
  </si>
  <si>
    <t>Interesante, y #ouch @fermedon -- Carta abierta a Pablo Iglesias:  via @14ymedio</t>
  </si>
  <si>
    <t>https://www.14ymedio.com/blogs/cajon_de_sastre/Carta-abierta-Pablo-Iglesias_7_2560013974.html#.XAoKwMusoyw.twitter</t>
  </si>
  <si>
    <t>San Porfirio de la Guacharaca</t>
  </si>
  <si>
    <t>Writer and Novelist/Escritor y Novelista</t>
  </si>
  <si>
    <t>http://www.joelhirst.com</t>
  </si>
  <si>
    <t>TeVeo</t>
  </si>
  <si>
    <t>A éste es a quien aplaude Pablo Iglesias en lugar de al Rey: Maduro ofrece un pernil y tres euros a los que lo voten en las elecciones municipales del domingo.</t>
  </si>
  <si>
    <t>Los independentistas necesitan mantener vivo el fascismo para fomentar el odio a España</t>
  </si>
  <si>
    <t>José Tomás VOX</t>
  </si>
  <si>
    <t>A ver si nos aclaramos pablito, eres o no eres español?, ya está bien de hacer el tonto, porque a muchos españoles nos da náuseas tener que tragar tus tontunas</t>
  </si>
  <si>
    <t>Coordinador VOX Vilamarchant y Camp de Turia</t>
  </si>
  <si>
    <t>Albert Rivera y Pablo Iglesias no saben quién es Kant 🌏 TRES IDEAS-FUERZA, 📢 AZAR Y CONTINUIDAD,</t>
  </si>
  <si>
    <t>https://goo.gl/ZAe9Dj?gny51=7279560204</t>
  </si>
  <si>
    <t>FIEEL FrenteIdentiEE</t>
  </si>
  <si>
    <t>No estamos aquí para convencer, sino para extinguir al cínico bolchesquizoide y al depresivo socioparapléjico fracasado</t>
  </si>
  <si>
    <t>Santiago del Campo</t>
  </si>
  <si>
    <t>http://www.diarioalcazar.com/2018/12/pablo-iglesias-podria-ser-juzgado-por.html#.XAoGVK5Rv_o.twitter</t>
  </si>
  <si>
    <t>Morado Sansero</t>
  </si>
  <si>
    <t>http://dlvr.it/Qt2Hht</t>
  </si>
  <si>
    <t>https://pbs.twimg.com/media/DtymcCeVsAAOJei.jpg</t>
  </si>
  <si>
    <t>Zgztorrero</t>
  </si>
  <si>
    <t>España pais de contraste; Medio pais disfutando de un puente, centro comerciales llenos, hoteles sin una habitacion libre y pablo iglesias despreciando nuestra constitucion y hablando de muertos en la cuneta</t>
  </si>
  <si>
    <t>vivir para contarlo, descolocado en una sociedad que no entiendo, cada vez mas radicalizada, crispada, y dictactorial.</t>
  </si>
  <si>
    <t>El_Perro</t>
  </si>
  <si>
    <t>Después dicen que son vaina mías, Sr. Ricardo, le pidió al socio de Pablo Iglesias, Sánchez, que intercediera por los presos políticos venezolanos ante el hoy "presidente" del país invasor y secuestrador de Venezuela, y que no necesitamos buques, sino un celular y voluntad, ¿? RT @ricardopuentesm: Falta la foto con Vivanco. Ahh no. Ya la tiene. Lorent, Lorent.... Qué sucedió realmente?</t>
  </si>
  <si>
    <t>https://twitter.com/ricardopuentesm/status/1070785928120152064
https://twitter.com/lorent_saleh/status/1070726556295684096</t>
  </si>
  <si>
    <t>ÜT: 12.489254,-61.83934</t>
  </si>
  <si>
    <t>RT de cosas buenas y malas. Si maldices, este no es tu lugar. Se reserva el derecho de admisión (criminales socialistas y sus derivados)</t>
  </si>
  <si>
    <t>Mire Pablo Iglesias, te faltan muchos años para saber de política y te falta educación, lee lo que dicen de ti. RT @popysupersayan: @libertaddigital Ni educación...ni respeto...ese es el ejemplo del coletas a nuestros jóvenes!! Eres una vergüenza Iglesias...sólo aplaudes y rindes pleitesía a terroristas, asesinos,dictadores y torturadores!!</t>
  </si>
  <si>
    <t>https://twitter.com/popysupersayan/status/1070704172956303360</t>
  </si>
  <si>
    <t>Ragnar Lodbrok</t>
  </si>
  <si>
    <t>Pablo Iglesias ha adoctrinado a mucha gente con su discurso de “MASCULINIDAD”, ha demostrado que sus cachorros salen. Espero que tenga que responder ante un tribunal. Aquí sus palabras. Difúndelo.</t>
  </si>
  <si>
    <t>pic.twitter.com/jtTFDcn4xm</t>
  </si>
  <si>
    <t>Suecia y Dinamarca</t>
  </si>
  <si>
    <t>Luchamos. Así es como hemos ganado. Y esta es la forma en la que moriremos.</t>
  </si>
  <si>
    <t>Charran Español</t>
  </si>
  <si>
    <t>Me encanta sobrevolar una España que no sea llevada a la ruina por parte de los partidos de izquierdas.</t>
  </si>
  <si>
    <t>El Cubanisimo60</t>
  </si>
  <si>
    <t>Pablo Iglesias: "La Constitución es la mejor vacuna contra radicalismos, populismos y nacionalismos",!!! Ver más en:</t>
  </si>
  <si>
    <t>http://www.rtve.es/a/4876445</t>
  </si>
  <si>
    <t>https://pbs.twimg.com/media/DtyZvI8XQAEWSsD.jpg</t>
  </si>
  <si>
    <t>El Verger, España</t>
  </si>
  <si>
    <t>Soy ese PADRE que no me dejaron ser, todo mi existir va dedicado a mis 4 Hij@s, vean como quería educarles; Cristiano, del Barça y el PSOE Gracias a Dios ,!!!</t>
  </si>
  <si>
    <t>Sinpoliticos</t>
  </si>
  <si>
    <t>Leed el artículo, es el fin de seres indeseables como Pablo Iglesias. RT @elmundoes: El fin del sexo reproductivo: llega la técnica que permitirá tener hijos sin la intervención del varón</t>
  </si>
  <si>
    <t>https://twitter.com/elmundoes/status/1070896802315100161
https://trib.al/i6g6JQy</t>
  </si>
  <si>
    <t>Joder, qué tropa!</t>
  </si>
  <si>
    <t>JUGLAR</t>
  </si>
  <si>
    <t>Pudieron haberse bañado y cambiado de ropa para la ocasión, al menos el Mezquitas pudo haberse lavado ese pelo grasiento y la boca para no hablar tanta mierda. Iglesias, "decepcionado" con el rey por no hablar de corrupción en su discurso  vía @20m</t>
  </si>
  <si>
    <t>https://www.20minutos.es/noticia/3510498/0/pablo-iglesias-corrupcion-discurso-constitucion-rey/?utm_source=twitter.com&amp;utm_medium=socialshare&amp;utm_campaign=desktop</t>
  </si>
  <si>
    <t>Riga, Latvia</t>
  </si>
  <si>
    <t>Día de la Constitución: Pablo Iglesias: “El discurso del Rey ha sido decepcionante” | España | EL PAÍS</t>
  </si>
  <si>
    <t>Sermón a Pablo Iglesias Dejar un comentario, SOCIEDAD LABORAL, Humildad,</t>
  </si>
  <si>
    <t>🤔 Pablo_Iglesias_ reivindica la República en el acto con los Reyes y evita saludar a Felipe VI en el #DiaDeLaConstitucion.</t>
  </si>
  <si>
    <t>Así Pablo Iglesias evitó el saludo protocolar a los Reyes en el Congreso</t>
  </si>
  <si>
    <t>https://bit.ly/2KXHrcO</t>
  </si>
  <si>
    <t>https://pbs.twimg.com/media/DtwCE65WsAMzf12.jpg</t>
  </si>
  <si>
    <t>Un cocinero de paellas, un convertido al islam, faltas de ortografía... los curiosos rivales de Pablo Iglesias en Podemos  via @SquidAppES</t>
  </si>
  <si>
    <t>http://go.squidapp.co/n/Esu3ORq</t>
  </si>
  <si>
    <t>Paula</t>
  </si>
  <si>
    <t>Soy de Sevilla. Dile a Pablo Iglesias que vaya a las 3000 , verás lo bien recibido que es y como se confirman los datos mejor que desde la Junta. RT @m_pais: En la entrevista de ABC a Abascal el líder de VOX insiste en que su partido ha sacado un "excelente resultado" en las 3.000 viviendas de Sevilla. Es un dato FALSO y Cuartango ni se lo discute. Ni un "eso es falso, los datos no dicen eso".</t>
  </si>
  <si>
    <t>https://twitter.com/m_pais/status/1070244025549115392</t>
  </si>
  <si>
    <t>#vox</t>
  </si>
  <si>
    <t>Nomka.</t>
  </si>
  <si>
    <t>Me gustó un video de @YouTube  Arquitecta analiza el CHALET de Pablo Iglesias e Irene Montero</t>
  </si>
  <si>
    <t>Crónicas Bárbaras</t>
  </si>
  <si>
    <t>Otra frase a prohibir: "De casta le viene al Pablo" (Pablo Manuel Iglesias) RT @olgarusu: 😂😂😂</t>
  </si>
  <si>
    <t>https://twitter.com/olgarusu/status/1070584746454016000
https://twitter.com/el_pais/status/1070516942153363456</t>
  </si>
  <si>
    <t>Periodista, excorresponsal de la Agencia EFE en México, Bélgica, China y EE.UU. Analista independiente de política, cultura y de la sociedad global.</t>
  </si>
  <si>
    <t>http://www.cronicasbarbaras.blogs.com</t>
  </si>
  <si>
    <t>Noticias Venezuela</t>
  </si>
  <si>
    <t>CARTA ABIERTA A PABLO IGLESIAS</t>
  </si>
  <si>
    <t>https://wp.me/p26M0z-Ep6--</t>
  </si>
  <si>
    <t>https://pbs.twimg.com/media/Dtx1DJ3WwAEl_Dt.jpg</t>
  </si>
  <si>
    <t>🔴 La mejor y más actual red de noticias de Venezuela http://noticiasvenezuela.co</t>
  </si>
  <si>
    <t>http://noticiasvenezuela.org/</t>
  </si>
  <si>
    <t>marc quintillà</t>
  </si>
  <si>
    <t>Pablo Iglesias se salta el saludo protocolario a los reyes en el Congreso</t>
  </si>
  <si>
    <t>http://a.msn.com/01/es-es/BBQzGwm?ocid=st</t>
  </si>
  <si>
    <t>http://www.bearwww.com/pera</t>
  </si>
  <si>
    <t>MLZ</t>
  </si>
  <si>
    <t>Ojala</t>
  </si>
  <si>
    <t>Solo intento ser buena gente, aunque a veces no lo consiga.</t>
  </si>
  <si>
    <t>Gitano de Sentinel del Norte</t>
  </si>
  <si>
    <t>Precandidaturas en Podemos para arrebatar el liderazgo a Pablo Iglesias y competir por ser el presidente del Gobierno en España. No son de VOX, pero tampoco es que hayan consultado el diccinario VOX demasiado RT @manuelansede: Precandidaturas en Podemos para arrebatar el liderazgo a Pablo Iglesias y competir por ser el presidente del Gobierno en España. "Mi motivación es frenar el hauje de la extrema derecha e implantar una república fedarista en Eapaña"</t>
  </si>
  <si>
    <t>https://twitter.com/manuelansede/status/1069974497703456768
https://primariascongresoysenado.podemos.info/candidaturas/manuel-angel-barros-rodriguez/</t>
  </si>
  <si>
    <t>Huesca, España</t>
  </si>
  <si>
    <t>Graciosillo en pantunflas. Me meto con la izquierda y con la derecha con humor. ▶ Vamos a echarnos unas risas, primos ◀. Ya me drogo ni robo.</t>
  </si>
  <si>
    <t>https://www.forocoches.com/foro/member.php?u=636856</t>
  </si>
  <si>
    <t>☃️ Lesan Especial Jesucristo 🎅</t>
  </si>
  <si>
    <t>algo he tocado cuando me he puesto música en el móvil y ahora en todas las canciones me sale de portada la foto de pablo iglesias con el rey</t>
  </si>
  <si>
    <t>https://pbs.twimg.com/media/Dtxury9W4AUMLq4.jpg</t>
  </si>
  <si>
    <t>Barcelona, Catalunya.</t>
  </si>
  <si>
    <t>🎗️ Realització EMAV / Sobrevivo a base de rock, fútbol, cine, humor y patatas fritas / Catalán de barrio con el puño alzado / El más guiri del sur de Europa.</t>
  </si>
  <si>
    <t>https://www.youtube.com/MarcLesan</t>
  </si>
  <si>
    <t>Pablo Iglesias ha contagiado al Rey PRINCIPIO DE INDIVIDUACIÓN, Insurrección, República,</t>
  </si>
  <si>
    <t>http://www.diarioalcazar.com/2018/12/pablo-iglesias-podria-ser-juzgado-por.html#.XAnL10wpUs9.twitter</t>
  </si>
  <si>
    <t>Chema Cuenca</t>
  </si>
  <si>
    <t>https://okdiario.com/espana/2018/12/05/foros-militancia-podemos-arden-contra-iglesias-pablo-callate-haz-autocritica-3427399#.XAnLG4DnEyY.twitter</t>
  </si>
  <si>
    <t>Ingeniero Industrial. Especialista en mantenimiento industrial</t>
  </si>
  <si>
    <t>Pablo Iglesias y Quim Torra deberían ser detenidos de inmediato por llamar a sus hordas de violentos a provocar disturbios. @vox_es</t>
  </si>
  <si>
    <t>cesar requesens</t>
  </si>
  <si>
    <t>"Su alejamiento de lo piensa un señor llamado Iglesias más conocido ya por 'El marquesito de Galapagar'", debió decir para ser más exacto...</t>
  </si>
  <si>
    <t>https://www.elconfidencial.com/espana/2018-12-06/aniversario-constitucion-pablo-iglesias-podemos-rey-juan-carlos_1690826/?utm_source=facebook&amp;utm_medium=social&amp;utm_campaign=ECDiarioManual</t>
  </si>
  <si>
    <t>Escritor y periodista. Columnista en Granada Hoy. Colaborador en Es Radio. Profesor de escritura en CCUCP-UGR.</t>
  </si>
  <si>
    <t>http://www.cesarderequesens.com</t>
  </si>
  <si>
    <t>Rafael de la Guerra</t>
  </si>
  <si>
    <t>Esta carta abierta del presidente de VOX (partido de derechas, sin la falsa coletilla de extrema, ni ultra) Santiago Abascal, al presidente de Podemos (auténtico partido de EXTREMA IZQUIERDA o ULTRAIZQUIERDA) Pablo Iglesias, y que posiblemente ya habréis leído muchos, no dice más</t>
  </si>
  <si>
    <t>Dr. en Medicina. Asturiano. En guerra perpetua contra prepotentes, pusilánimes, jetas, cínicos y caraduras. La vida es más bonita a lomos de mi querido caballo.</t>
  </si>
  <si>
    <t>Quercíneo Cinereo</t>
  </si>
  <si>
    <t>Pablo Iglesias evitó el saludo protocolar a los Reyes en el Congreso</t>
  </si>
  <si>
    <t>https://goo.gl/MUc9sh</t>
  </si>
  <si>
    <t>https://pbs.twimg.com/media/DtvGxdWWwAE-nt9.jpg</t>
  </si>
  <si>
    <t>Un español amante de la Naturaleza, de la ciencia, de la cultura y del civismo. Dispuesto a cambiar el mundo pero con cabeza</t>
  </si>
  <si>
    <t>Europa Press</t>
  </si>
  <si>
    <t>#LoMásVisto | Iglesias dice que el feminismo es la "mejor vacuna" contra "movimientos reaccionarios", en alusión a Santiago Abascal y Vox</t>
  </si>
  <si>
    <t>https://bit.ly/2G3v4NI</t>
  </si>
  <si>
    <t>La agencia de noticias privada líder en España | Síguenos también en Facebook: http://www.facebook.com/europapress.es e Instagram: https://www.instagram.com/europapress/</t>
  </si>
  <si>
    <t>Fernando Gallardo</t>
  </si>
  <si>
    <t>Como sucedió antes en Francia con Le Pen, las bases de la ultraderecha española están en @ahorapodemos. Un escritor malagueño explica con claridad el alza de @vox_es en Andalucía.</t>
  </si>
  <si>
    <t>https://www.heraldo.es/noticias/nacional/2018/12/04/la-carta-andaluz-pablo-iglesias-que-explica-por-que-pueblo-pasado-horas-rojo-facha-1281147-305.html</t>
  </si>
  <si>
    <t>New York / Madrid</t>
  </si>
  <si>
    <t>Crítico de hoteles en EL PAÍS / Hotel analyst for EL PAÍS since 1987 - Blog http://laruinahabitada.org - Creador de la marca Hoteles con Encanto</t>
  </si>
  <si>
    <t>http://about.me/FernandoGallardo</t>
  </si>
  <si>
    <t>JUSTA</t>
  </si>
  <si>
    <t>¡¡QUE LE DETENGAN, ES UN MENTIROSO, MALVADO Y PELIGROSO, CREE QUE NO LE "PODEMOS" CONTROLAR!! (Adaptación de la canción "Que la detengan" de David Civera)</t>
  </si>
  <si>
    <t>TENGO UN GRAN SENTIDO DE LA JUSTICIA Y UNA COSA MUY CLARA: ¡¡QUIEN NO QUIERA A ESPAÑA....QUE SE VAYA!!</t>
  </si>
  <si>
    <t>pablo</t>
  </si>
  <si>
    <t>Y ya tenemos la de mayor femicidios por habitantes. Para escríbanos de iglesias tenemos suficiente ya 🤦‍♂️ RT @NicolasLucca: Encabezan el embarazo adolescente del país. Totalmente, cero prioritario.</t>
  </si>
  <si>
    <t>https://twitter.com/NicolasLucca/status/1070836913299513344</t>
  </si>
  <si>
    <t>https://pbs.twimg.com/media/DtxgfTvWsAAoLtd.jpg</t>
  </si>
  <si>
    <t>Emilio Bello</t>
  </si>
  <si>
    <t>"Donde termina el esfuerzo, comienza el fracaso, nunca te rindas"</t>
  </si>
  <si>
    <t>Leandro #Clanero</t>
  </si>
  <si>
    <t>YouTuber con muchas ganas de que os lo paséis bien :3 ♡♡♢♧+100SUBS https://www.youtube.com/channel/UC5hmM230u7wyYc8TAIjAI8A</t>
  </si>
  <si>
    <t>JuanIgnacio LópezBas</t>
  </si>
  <si>
    <t>Que dicen Pablo Iglesias y Alberto Garzón que estos de la foto eran otro atajo de fachas ...</t>
  </si>
  <si>
    <t>https://pbs.twimg.com/media/Dtxhq39WkAEY753.jpg</t>
  </si>
  <si>
    <t>Orihuela, Alicante, España</t>
  </si>
  <si>
    <t>Abogado. Concejal-portavoz de Cs Orihuela. 1er Tte-Alcalde. Secr. Prov. RRII Alicante. Feliz cada fin de semana. Me pone mi familia. Vivir, la mejor aventura</t>
  </si>
  <si>
    <t>http://orihuela.ciudadanos-cs.org/</t>
  </si>
  <si>
    <t>Carmen FC</t>
  </si>
  <si>
    <t>Asraf pidiendo a Omar. Esto es como si Pablo Iglesias pidiese a Franco. #ghvipgala13</t>
  </si>
  <si>
    <t>Por los políticamente incorrectos, por los valientes de opinión, por los que nadan contracorriente, por los que se cuestionan todo y por los abogados del diablo</t>
  </si>
  <si>
    <t>#MatanzaAtocha Dice Cristina Almeida que esta marcada por aquel atentado. Sin embargo el terrorismo etarra es visto por Pablo Iglesias como cosa del pasado, y te apoya a presos como a la tribu de Alsasua. Dolor y justicia para la izquierda pero no para las víctimas de ETA</t>
  </si>
  <si>
    <t>Jose Luis</t>
  </si>
  <si>
    <t>Atleti por siempre. Un sentimiento, una pasión, una forma de vida. Corazón rojiblanco: lucha, honor, lealtad.</t>
  </si>
  <si>
    <t>Javier Marcos Angulo</t>
  </si>
  <si>
    <t>Aprendiz de la vida, busco la verdad.</t>
  </si>
  <si>
    <t>http://javiermarcosangulo.blogspot.com.es</t>
  </si>
  <si>
    <t>MasterKönig</t>
  </si>
  <si>
    <t>#GarzónNoResponde Garzón: bufón de Pablo Iglesias</t>
  </si>
  <si>
    <t>https://pbs.twimg.com/media/DtxgVeIX4AEmSEm.jpg</t>
  </si>
  <si>
    <t xml:space="preserve">Universo. </t>
  </si>
  <si>
    <t>Si buscas resultados diferentes, no hagas siempre lo mismo.</t>
  </si>
  <si>
    <t>N.N.N.N.</t>
  </si>
  <si>
    <t>Juanra igual se mete con Pablo Iglesias argumentándose en lo que a él le parece, que hace a Cristina Seguí tertuliana de su programa. Luego nos preguntamos por el ascenso de Vox. Hay casi más banderas de España en las respuestas a su tuit que en un mitin de vox. RT @JuanraLucas: Dice @Pablo_Iglesias_ que la mayoría de los españoles estamos por la República. Si...se ve muy bien en los resultados de las andaluzas y en la configuración de Parlamento donde, como se sabe, tienen los republicanos mayoría. Inténtelo de nuevo, a ver si hay suerte.</t>
  </si>
  <si>
    <t>https://twitter.com/JuanraLucas/status/1070681798819151872</t>
  </si>
  <si>
    <t>Utopía</t>
  </si>
  <si>
    <t>7 veces salí del país, traje imanes. Licenciado en Periodismo, lo que pasó después te sorprenderá.Pensáis que todo tiene un límite, así estáis todos, limitados.</t>
  </si>
  <si>
    <t>http://www.dondequedealgunaflordondenohayapolicia.com</t>
  </si>
  <si>
    <t>Victor Botifler</t>
  </si>
  <si>
    <t>La democracia que busca Alberto Garzón, Pablo Iglesias, Pedro Sanchez y Quim Toigdemont. La que nos brindó Mariano Rajoy. Hasta dónde hemos llegado... RT @arturelpayaso2: Radicales independentistas, los amigos de Quim Torra y Puigdemont, agreden salvajemente a Álvaro de Marichalar, quien tuvo que huir para no ser linchado. Cataluña está en guerra, y quien no lo vea, que se lo haga mirar.</t>
  </si>
  <si>
    <t>Filántropo afincado en Reino Unido.</t>
  </si>
  <si>
    <t>Armuño en ayunas</t>
  </si>
  <si>
    <t>Me río del momento en el que, hablando de la reforma constitucional, Pablo Iglesias dice "hay que apostar por la fraternidad" y miras detrás de él y no reconoces a nadie porque ha ido cargándose a todos su amigos del partido.</t>
  </si>
  <si>
    <t>https://pbs.twimg.com/media/DtxeDp4WoAAouam.jpg</t>
  </si>
  <si>
    <t>Me visibilizo como neogüelfo. Ni un tuit sin su errata.</t>
  </si>
  <si>
    <t>Los debates que Federico Jiménez Losantos ganó a Pablo Iglesias  vía @YouTube</t>
  </si>
  <si>
    <t>https://youtu.be/k3WqC5juY64</t>
  </si>
  <si>
    <t>andre</t>
  </si>
  <si>
    <t>torra incita al odio y a la violencia,pablo iglesias a seguido su camino y tambien incita al odio y a la violencia,y pedro sanchez con su silencio los ampara y x culpa de estos energumenos la sociedad salimos perdiendo ,se actua con contundencia o el estado de derecho se rompera</t>
  </si>
  <si>
    <t>Puppet</t>
  </si>
  <si>
    <t>A estas horas de la noche diré. Al ultra derechismo no se le combate rompiendo una manifestación suya. Prohibir que otra gente se exprese es de fascistas (ejem CUP). Llamar a las movilizaciones cuando se palma en Andalucía también es un poco fachosillo (Pablo Iglesias)</t>
  </si>
  <si>
    <t>No soy tipster (o si?). Matemática en las apuestas. Fútbol y Baloncesto al 8% de yield (+1000) No te pierdas nada en mi Telegram 👉🏼 http://t.me/IDPuppet</t>
  </si>
  <si>
    <t>eldiario.es</t>
  </si>
  <si>
    <t>https://pbs.twimg.com/media/DtwtiYeWoAAw0ou.jpg</t>
  </si>
  <si>
    <t>Periodismo a pesar de todo. Colabora: Hazte socio -- http://www.eldiario.es/socios/alta.html</t>
  </si>
  <si>
    <t>http://www.eldiario.es</t>
  </si>
  <si>
    <t>⛪Toni</t>
  </si>
  <si>
    <t>Pablo Iglesias plantea a Ciudadanos que ponga "encima de la mesa" un acuerdo para Andalucía</t>
  </si>
  <si>
    <t>https://okdiario.com/espana/2018/12/05/iglesias-plantea-ciudadanos-que-ponga-encima-mesa-acuerdo-andalucia-3430367/amp</t>
  </si>
  <si>
    <t>Me parió mi madre, mi padre me aguantó, hice como que estudiaba, me fui a la mili, me casé, tengo 8 hijos-as, 3 nietos y se me ha caído el pelo de aguantarlos</t>
  </si>
  <si>
    <t>Miguel Gonzalez</t>
  </si>
  <si>
    <t>Que dice el estalinista de pablo iglesias q no cree en la constitucion porq por ejemplo los españoles no tienen una vivienda digna. Este gilipollas despues de la mansion q se ha hecho como puede hablar de este tema????</t>
  </si>
  <si>
    <t>https://wp.me/p26M0z-Ep6</t>
  </si>
  <si>
    <t>https://pbs.twimg.com/media/DtxaOQNV4AAUyV2.jpg</t>
  </si>
  <si>
    <t>Jota</t>
  </si>
  <si>
    <t>Día 6 después de vOx: - Pedro Sánchez quiere reformar la Constitución. - Pablo Iglesias de campaña por la republica.</t>
  </si>
  <si>
    <t>Fuera de Twitter soy más tieso que las sábanas del SAS.</t>
  </si>
  <si>
    <t>https://www.instagram.com/sevilladecadente</t>
  </si>
  <si>
    <t>Roberto M</t>
  </si>
  <si>
    <t>Bueno, Errejón al menos se ha dado cuenta. Una pena que Pablo Iglesias no. RT @ierrejon: No hay 400.000 fascistas en Andalucía. VOX es un síntoma; nuestro combate debe ser contra las causas: la desigualdad, la incertidumbre, el miedo y la precariedad. Tenemos que reconstruir el orden y la seguridad de los de abajo para cerrarle la puerta a los reaccionarios.</t>
  </si>
  <si>
    <t>Málaga y a veces Puente Genil</t>
  </si>
  <si>
    <t>23. Graduado en Ingeniería Química (UMA). Profesor de Ciencias a ratos. Políticamente incorrecto en ocasiones.</t>
  </si>
  <si>
    <t>jose l serrano</t>
  </si>
  <si>
    <t>Pablo Iglesias reivindica la República como solución a los problemas de España. Los problemas de España se solucionarán cuando estéis en la carcel... sois una epidemia, vividores</t>
  </si>
  <si>
    <t>https://okdiario.com/espana/2018/12/06/pablo-iglesias-reivindica-republica-como-solucion-problemas-espana-3435080</t>
  </si>
  <si>
    <t>Ibiza Baleares ESPAÑA</t>
  </si>
  <si>
    <t>Español, democrata convencido, defensor de la Constitución y afiliado a VOX</t>
  </si>
  <si>
    <t>Britovius🎄🇪🇸</t>
  </si>
  <si>
    <t>Se salta el saludo, no se ducha, no se desinfecta, ni se viste como cuando va a los premios Goya. Pablo Iglesias se salta el saludo protocolario a los reyes en el Congreso</t>
  </si>
  <si>
    <t>Madrid - Spain</t>
  </si>
  <si>
    <t>Audentes fortuna iuvat</t>
  </si>
  <si>
    <t>Froilán I de España</t>
  </si>
  <si>
    <t>No sé por qué os sorprende que Pablo Iglesias plagie un logo, si también plagió al Rey cuando quiso vivir en un palacete.</t>
  </si>
  <si>
    <t>https://pbs.twimg.com/media/DtxWNkcXQAAHHBR.jpg</t>
  </si>
  <si>
    <t>La mano dura de la monarquía. En el juego de tronos de España, sólo se puede ser Froilán o morir. Parodia. ¿no? froilancitorey@gmail.com</t>
  </si>
  <si>
    <t>https://eltronodefroilan.wordpress.com/</t>
  </si>
  <si>
    <t>Gracias, @pablo_iglesias . Desde que declaraste la «alerta antifascista», o sea, la etarrización de toda España, estamos cada día más cerca de que los tuyos nos asesinen. Este odio acabarás pagándolo en las urnas, ASESINO RT @arturelpayaso2: Radicales independentistas, los amigos de Quim Torra y Puigdemont, agreden salvajemente a Álvaro de Marichalar, quien tuvo que huir para no ser linchado. Cataluña está en guerra, y quien no lo vea, que se lo haga mirar.</t>
  </si>
  <si>
    <t>La carta viral de un andaluz a Iglesias: "Cuando usted predica pobreza pero se compra un chalé, nace un fascista"</t>
  </si>
  <si>
    <t>SALUD Y REPUBLICA</t>
  </si>
  <si>
    <t>El torero Fran Rivera apoya a Vox y estalla contra Pablo Iglesias:  vía @YouTube</t>
  </si>
  <si>
    <t>http://youtu.be/MUdK58VRVGA?a</t>
  </si>
  <si>
    <t>El PP ha sembrado una tormentosa República y va ha recoger una tempestad de III REPUBLICA</t>
  </si>
  <si>
    <t>Linares 9ª Provincia</t>
  </si>
  <si>
    <t>#Andújar: Iglesias critica el discurso "decepcionante" del Rey y rechaza la ovación "sobreactuada" a Juan Carlos I</t>
  </si>
  <si>
    <t>Por nuestra sangre minera, no seguiremos permitiendo que se nos robe nuestra identidad. Llegó el momento de poner fin a dos siglos de ocupación y de imposición.</t>
  </si>
  <si>
    <t>http://www.linaresnovenaprovincia.wordpress.com</t>
  </si>
  <si>
    <t>El Rey tiene dignidad, Pablo Iglesias chepa. RT @infiltradoxxx: Cuando el Rey supo del problema de los hijos de los Iglesias-Montero les llamo para preocuparse por su estado, hoy Pablo Iglesias le ha negado el saludo, poco más que añadir.</t>
  </si>
  <si>
    <t>Cuidadín. Iglesias no es comunista. Es un falso comunista. Es un traidor infiltrado, a sueldo de un gobierno que pretende desestabilizar España y Sudamérica. "La geopolítica es así [sic]" (Pablo Iglesias). RT @DarthVaderATM: "Necesitamos ODIAR. El ODIO es la base del Comunismo. Los niños deben ser enseñados a ODIAR a los países que no son Comunistas". (Lenin).</t>
  </si>
  <si>
    <t>https://twitter.com/darthvaderatm/status/1069918465534898176</t>
  </si>
  <si>
    <t>https://pbs.twimg.com/media/DtkdKzPXQAIvBVy.jpg</t>
  </si>
  <si>
    <t>Alex Puigrefagut Pla 🇪🇺</t>
  </si>
  <si>
    <t>Y por lo que veo Pablo Iglesias no quiso asistir a todos los eventos oficiales para la celebración de la Constitución, él sabra. Además no aplaudir al rey ni a los discursos constitucionales que se dieron ayer en el Congreso.</t>
  </si>
  <si>
    <t>https://pbs.twimg.com/media/DtxUG5rWkAEeQjp.jpg</t>
  </si>
  <si>
    <t>Vic(Barcelona)/Pamplona,España</t>
  </si>
  <si>
    <t>Europeísta empedernido y liberal. Botifler a jornada completa. Construyamos juntos el futuro. Opiniones personales. Universidad de Navarra.</t>
  </si>
  <si>
    <t>maria</t>
  </si>
  <si>
    <t>¿A estos hay que seguir pagando?. ¿Pero nos hemos vuelto anormales? Esto no se permite en ningún país. En Italia un Pablo Iglesias que ha dicho y hecho cosas contra los españoles, sus símbolos, e himno, sin jurar defender España, no entra. Sencillamente no está. En Francia ídem. RT @hermanntertsch: Cuando no son capaces de hablar de España si no es para atacarla, si no soportan la bandera española y solo la usan para vejarla, ni hablan de la unidad nacional si no es para cuestionarla y traicionarla... ¿Cómo van a aplaudir al himno nacional de España?</t>
  </si>
  <si>
    <t>https://twitter.com/hermanntertsch/status/1070726595911004160
https://twitter.com/casoaislado_es/status/1070639313531088896</t>
  </si>
  <si>
    <t>NO a las autonomías=Nido d ladrones. Cambiar la ley electoral y separar poderes. España es UNA nación antes q las demás occidentales.</t>
  </si>
  <si>
    <t>Pablo Iglesias quiere una constitución justa y feminista, lastima que no denunciado las ciento de mujeres vejadas y golpeadas por los esbirros de Maduro y su régimen chavista cubano</t>
  </si>
  <si>
    <t>planeta tierra</t>
  </si>
  <si>
    <t>no me calo ni dictadores ni vende patrias, fan del Real Madrid y de los Leones de Caracas, Casillista convencido , venezolano y gallego CIUDADANO DEL MUNDO</t>
  </si>
  <si>
    <t>http://carablancanaiguata.blogspot.com</t>
  </si>
  <si>
    <t>Lo que mola y no mola. Pablo Iglesias. Dictadura del proletariado y democracia vía 📢 B4O Sacudida, MOVIMIENTO DE LEGITIMACIÓN, formación del edificio político, Sistema, HORIZONTE ELECTORAL, FORMA REPUBLICANA, Disturbio, Democracia,</t>
  </si>
  <si>
    <t>https://youtu.be/4qAf1KzbkzQ</t>
  </si>
  <si>
    <t>vicente chispa</t>
  </si>
  <si>
    <t>Porque no una manifestacion a favor de España, en frente del chalecito de Pablo Iglesias, haber que tal le sienta.</t>
  </si>
  <si>
    <t>Electricista y punto</t>
  </si>
  <si>
    <t>nieves</t>
  </si>
  <si>
    <t>Pablo Iglesias podría ser juzgado por incitación a la violencia según el Código Penal - Diario Alcázar</t>
  </si>
  <si>
    <t>La Coruña, Galicia</t>
  </si>
  <si>
    <t>Me gusta mi ciudad La Coruña. trabajo en la Xunta de Galicia, Conselleria de Cultura, Educacion e Ordenacion Universitaria, casada madre de dos hijas</t>
  </si>
  <si>
    <t>Madrid , España</t>
  </si>
  <si>
    <t>¿Será que va robarse otro logo? Porque para robar y apropiarse de lo ajeno @ahorapodemos son unos especialistas con su jefe @Pablo_Iglesias y @Monedero En #Venezuela sacaron y que "donaciones" del tieso para la basura comunista de @ahorapodemos RT @LaLupaJudicial: Parece que "Podemos" va a elegir un nuevo logo...ha desaparecido de su TL el de "Beauty salon". 🙈🙈🙈🙈🙈🙈🙈🙈🙈</t>
  </si>
  <si>
    <t>https://twitter.com/LaLupaJudicial/status/1070815712346808320</t>
  </si>
  <si>
    <t>https://pbs.twimg.com/media/DtxNNloXQAEzHps.jpg</t>
  </si>
  <si>
    <t>Toni Carra ⚓️🇪🇸</t>
  </si>
  <si>
    <t>Tiana, España</t>
  </si>
  <si>
    <t>asesor empresarial</t>
  </si>
  <si>
    <t>DALOLO</t>
  </si>
  <si>
    <t>Cuando el Rey supo del problema de los hijos de los Iglesias-Montero les llamo para preocuparse por su estado, hoy Pablo Iglesias le ha negado el saludo, poco más que añadir.</t>
  </si>
  <si>
    <t>Español, gallego y coruñés. Abogado y en mis ratos libres fútbol y política.</t>
  </si>
  <si>
    <t>Podemos Sarria</t>
  </si>
  <si>
    <t>"Os españois tragaron a monarquía a cambio de democracia. Unha nova república terá que chegar". Pablo Iglesias sen pelos na lingua no 40 aniversario da constitución ⬇🎬 "Los españoles tragaron la monarquía a...</t>
  </si>
  <si>
    <t>https://www.facebook.com/podemossarria/videos/2186566368283559/</t>
  </si>
  <si>
    <t>Sarria, Galicia</t>
  </si>
  <si>
    <t>🔥BRUTAL🔥 EDUARDO INDA responde a PABLO IGLESIAS "Es un CAVERNÍCOLA y un ...  vía @YouTube</t>
  </si>
  <si>
    <t>https://youtu.be/yc04ztdwTNo</t>
  </si>
  <si>
    <t>Pakito Navarro</t>
  </si>
  <si>
    <t>Sánchez cree que el nuevo “consorcio de las derechas” abre un espacio al PSOE. Procura que tu idilio con Pablo Iglesias y los independentistas no te pase factura, como al macho de la mantis religiosa que acaba decapitado y devorado por un rato de placer</t>
  </si>
  <si>
    <t>https://okdiario.com/espana/2018/12/06/sanchez-cree-que-nuevo-consorcio-derechas-abre-espacio-psoe-3437553/amp?utm_term=Autofeed&amp;utm_campaign=ok&amp;utm_medium=Social&amp;utm_source=Twitter&amp;__twitter_impression=true</t>
  </si>
  <si>
    <t>https://pbs.twimg.com/media/DtxOZAGXcAEtsv3.jpg</t>
  </si>
  <si>
    <t>Si los corruptos volaran nunca veríamos el sol. Nacido en Granada, amante y defensor de la dignidad</t>
  </si>
  <si>
    <t>Y este es el que llama fascistas a otros y anticonstitucionalistas. Vete al carajo y regala a tus engendros una X-VOX para navidad.</t>
  </si>
  <si>
    <t>http://ww.cope.es/1hlzo1</t>
  </si>
  <si>
    <t>Malagueño y Malaguista, y del Atleti, me gusta sufrir e informático. Lo tengo todo.</t>
  </si>
  <si>
    <t>Puturrú de fuá 🦆</t>
  </si>
  <si>
    <t>Que no os engañen. No es una mujer. Es Pablo Iglesias.</t>
  </si>
  <si>
    <t>https://pbs.twimg.com/media/DtxN3owXQAEVOc0.jpg</t>
  </si>
  <si>
    <t>https://slowfoodfastcooking.blogspot.com.es/?m=</t>
  </si>
  <si>
    <t>m.castell</t>
  </si>
  <si>
    <t>Especialista en Medicina Interna.</t>
  </si>
  <si>
    <t>jabato49</t>
  </si>
  <si>
    <t>Vaya REPASO de WALTER GARCÍA a PABLO IGLESIAS: "Tranquilo Pablito, que V...  vía @YouTube</t>
  </si>
  <si>
    <t>https://youtu.be/JCGOEUOqveQ</t>
  </si>
  <si>
    <t>Vinaròs, España</t>
  </si>
  <si>
    <t>La verdad como escudo.Aprendiz de todo,maestro de nada.LIBERAL CONSERVADOR. Amo a España, sus gentes, su historia. Afiliado a VOX La España por venir</t>
  </si>
  <si>
    <t>¿ES PABLO IGLESIAS RESPONSABLE PROTESTAS CONTRA RESULTADOS ELECTORALES VOX?  vía @YouTube</t>
  </si>
  <si>
    <t>https://youtu.be/1za8rk_ZEuU</t>
  </si>
  <si>
    <t>Escoda Libros</t>
  </si>
  <si>
    <t>https://www.20minutos.es/noticia/3508831/0/carta-viral-abierta-andaluz-medico-pablo-iglesias-cuando-usted-predica-pobreza-pero-compra-chale-nace-fascista-elecciones-andalucia-2018-podemos-vox/?utm_source=facebook.com&amp;utm_medium=socialshare&amp;utm_campaign=mobile_web</t>
  </si>
  <si>
    <t>Te llevamos la libreria a tu despacho, y te recomendamos lo que necesitas</t>
  </si>
  <si>
    <t>http://www.escodalibros.com</t>
  </si>
  <si>
    <t>AveriadosAve</t>
  </si>
  <si>
    <t>El nuevo mensaje de Pablo Iglesias para ganarse a las incautas feministas es: feminizar la política. Oigan lo que decía cuando no engañaba</t>
  </si>
  <si>
    <t>https://www.youtube.com/watch?v=N6Fc5B_gRYI</t>
  </si>
  <si>
    <t>Hasta las narices de las mentiras y el postureo de la izquierda.</t>
  </si>
  <si>
    <t>Juan-R. Moscad</t>
  </si>
  <si>
    <t>Eduardo Inda acusa a Pablo Iglesias de querer que "me partan la cara por la calle"</t>
  </si>
  <si>
    <t>https://digitalsevilla.com/2018/12/05/eduardo-inda-acusa-a-pablo-iglesias-de-querer-que-me-partan-la-cara-por-la-calle/#.XAmqegWLRSk.twitter</t>
  </si>
  <si>
    <t>Almansa, España</t>
  </si>
  <si>
    <t>Artículos en http://albacetecapital.com/category/elcat…</t>
  </si>
  <si>
    <t>https://albacetecapital.com/category/elcatalejo/</t>
  </si>
  <si>
    <t>futbolaragones.com</t>
  </si>
  <si>
    <t>⚽ ALE PREF&gt; Actur Pablo Iglesias – Montecarlo (0-0) 📷 Galería de imágenes 🐥 @acturpiglesias @udmontecarlo</t>
  </si>
  <si>
    <t>http://www.futbolaragones.com/web/ale-pref-actur-pablo-iglesias-montecarlo-0-0/?utm_campaign=shareaholic&amp;utm_medium=twitter&amp;utm_source=socialnetwork</t>
  </si>
  <si>
    <t>ARAGÓN (ESPAÑA)</t>
  </si>
  <si>
    <t>⚠️ Información sobre SD Huesca, Real Zaragoza, CD Ebro, CD Teruel, SD Ejea, 3ª División, Regionales, Femenino, Base, AD Sala 10... 📧 pagina@futbolaragones.com</t>
  </si>
  <si>
    <t>http://www.futbolaragones.com</t>
  </si>
  <si>
    <t>Press 15M</t>
  </si>
  <si>
    <t>http://dlvr.it/Qt1MbG</t>
  </si>
  <si>
    <t>https://pbs.twimg.com/media/DtxM2lHUwAAqGSI.jpg</t>
  </si>
  <si>
    <t>Por la lucha de la prensa libre e independiente desde el 15M</t>
  </si>
  <si>
    <t>Hispano #YoVotoVox 🇪🇸</t>
  </si>
  <si>
    <t>🇪🇸 España: Legado de nuestros padres y herencia de nuestros hijos (Santiago Abascal / VOX). #YoVotoVox.</t>
  </si>
  <si>
    <t>@Pablo_Iglesias_el gran demócrata y constitucionalista. Y principal socio de @sanchezcastejon. Todo muy coherente.</t>
  </si>
  <si>
    <t>https://www.libertaddigital.com/espana/politica/2018-12-06/podemos-ni-saluda-ni-aplaude-al-rey-1276629482/</t>
  </si>
  <si>
    <t>Jose M Heredia</t>
  </si>
  <si>
    <t>Pablo Iglesias se salta el saludo protocolario a los reyes en el Congreso...pabliyo, no tienes pase y mucho menos dignidad. La cortesia y educación política para ti debe ser algo como ciencia ficcion ( como minimo)</t>
  </si>
  <si>
    <t>https://www.lainformacion.com/espana/aniversario-consitucion-pablo-iglesias-no-salud-reyes-congreso/6456455</t>
  </si>
  <si>
    <t>Intentar vivir con sabiduria y templanza</t>
  </si>
  <si>
    <t>Alejandro Calvo 🇪🇸</t>
  </si>
  <si>
    <t>Que dé explicaciones Pablo Iglesias y pague todos los destrozos. Los fascistas están destrozando España. RT @voz_populi: ⏯ Los CDR revientan un acto de Vox por la Constitución en Gerona</t>
  </si>
  <si>
    <t>Marchamalo(GU) - España</t>
  </si>
  <si>
    <t>Del Atlético de Madrid, de Marchamalo y de Sheila. Chico Tafad, Graduado en Magisterio, Entrenador nivel 1 y Entrenador de fútbol base en Salesianos Guadalajara</t>
  </si>
  <si>
    <t>Un converso al islam, semianalfabetos, un paellero... los estrafalarios rivales de Pablo Iglesias en Podemos</t>
  </si>
  <si>
    <t>http://www.periodistadigital.com/politica/partidos-politicos/2018/12/06/un-converso-al-islam-un-analfabeto-un-cocinero-de-paellas-los-estrafalarios-rivales-de-pablo-iglesias-en-podemos.shtml</t>
  </si>
  <si>
    <t>Alazne Nuñez</t>
  </si>
  <si>
    <t>A mi como española me da vergüenza que existas tú, Pablo Iglesias RT @Odin237: A nosotros nos da vergüenza que exista Podemos, y que legalizaran el partido comunista en el 78, una aberración, y aquí estás. 🤫🇪🇸. Pablo Iglesias: 'Me da vergüenza como español que exista VOX  vía @MediterraneoDGT</t>
  </si>
  <si>
    <t>https://twitter.com/odin237/status/1070641007992152065
https://www.mediterraneodigital.com/espana/comunidad-de-madrid/pablo-iglesias-me-da-vergueenza-como-espanol-que-exista-vox.html</t>
  </si>
  <si>
    <t>País Vasco, España</t>
  </si>
  <si>
    <t>De lo que está pasando ahora mismo en muchas calles de las ciudades de Cataluña es responsabilidad directa del comunista Pablo Iglesias y del mamporrero de La Moncloa. Responsabilidades YA, y elecciones generales de una puñetera vez.</t>
  </si>
  <si>
    <t>J.M.C.</t>
  </si>
  <si>
    <t>Y los españoles nos preguntamos para qué sirves tú. Lo único que has hecho hasta ahora es crear odio, confrontaciones, enfrentar. No eres buena persona Pablo Iglesias. RT @ahorapodemos: 🎥 "Las tradiciones políticas de nuestro país no serían compatibles con un modelo de república presidencialista que mirara a la república francesa. Nuestro país es diferente, nuestro país es pluralista". @Pablo_Iglesias_ #40AñosDeConstitución #UnaConstituciónModerna</t>
  </si>
  <si>
    <t>Lee siempre la "letra pequeña"</t>
  </si>
  <si>
    <t>Daniel Calderón</t>
  </si>
  <si>
    <t>Querido Carlitos, desde todo el respeto que te tengo como amigo, te confundes. Podemos lleva bastante tiempo hablando de República y justicia social. Te dejo artículo de Pablo Iglesias pidiendo una república cuando VOX aún era extraparlamentario.  RT @csaez_: Que pena que haya tenido que sacar VOX 12 escaños para que Podemos por fin hable sin tapujos de República, antifascismo y justicia social.</t>
  </si>
  <si>
    <t>https://elpais.com/elpais/2018/11/21/opinion/1542806031_921444.html
https://twitter.com/csaez_/status/1070809269602316290</t>
  </si>
  <si>
    <t>Vallecas-Lyon</t>
  </si>
  <si>
    <t>Estudio Dcho y Políticas en la UCM. Probablemente si se pueda,pero no nos dejen. @ahorapodemos Del Rayo Vallecano. Y entre Lyon y Vallekas</t>
  </si>
  <si>
    <t>Jaime Blanco</t>
  </si>
  <si>
    <t>Se hará amigo de él Pablo Iglesias como lo es de Otegi? Pregunto y tal</t>
  </si>
  <si>
    <t>https://www.elmundo.es/espana/2018/12/06/5c096dbbfdddff405d8b4765.html</t>
  </si>
  <si>
    <t>Sta Cruz de Tenerife</t>
  </si>
  <si>
    <t>Libertario. Enemigo del Estado.</t>
  </si>
  <si>
    <t>http://about.me/jaime_blanco</t>
  </si>
  <si>
    <t>Pablo Iglesias cabreado, llama a la movilización "Mesias, NO te seguimos por lo bien que te explicas" Se te entiende todo</t>
  </si>
  <si>
    <t>https://pbs.twimg.com/media/DtxK26kX4AAG4O0.jpg</t>
  </si>
  <si>
    <t>Así Pablo Iglesias evitó el saludo protocolar a los Reyes en el Congreso  cO</t>
  </si>
  <si>
    <t>https://bit.ly/2KXHr</t>
  </si>
  <si>
    <t>https://www.diariovasco.com/politica/quince-encapuchados-apalean-20181204222259-nt_amp.html?__twitter_impression=true</t>
  </si>
  <si>
    <t>manuel vazquez silva</t>
  </si>
  <si>
    <t>https://okdiario.com/espana/2018/11/15/gonzalez-sobre-fuerza-iglesias-gobierno-si-fuera-presidente-no-gustaria-3353625#.XAmnEPkpP1Q.twitter</t>
  </si>
  <si>
    <t>cordoba,sevilla,madrid</t>
  </si>
  <si>
    <t>agricultor a titulo principal</t>
  </si>
  <si>
    <t>noajida1</t>
  </si>
  <si>
    <t>Mucho hablado, de finales año pasado, sobre supuesta financiación d Podemos a través del régimen de Irán. Según informaciones publicadas, desde 2012 Pablo Iglesias cobraba 3.000 euros semanales por programa, Fort Apache, q se emitía en televisión HispanTV, de titularidad iraní. RT @noajida1: El dinero iraní que financió a VOX  vía @ecd_</t>
  </si>
  <si>
    <t>https://twitter.com/noajida1/status/1070811364464214016
https://www.elconfidencialdigital.com/articulo/el_chivato/dinero-irani-financio-VOX/20150528204755077405.html</t>
  </si>
  <si>
    <t>Lo que mola y no mola. Pablo Iglesias. Dictadura del proletariado y democracia vía 🌎 A2N DOCTRINA OFICIAL, VenezuelaLibre, Disputa de disputar, Insumisión, Curva de curvar, IDEALIDAD REPUBLICANA, SOCIEDAD LABORAL, LA SOCIEDAD APARENTE, Libertad,</t>
  </si>
  <si>
    <t>Miky</t>
  </si>
  <si>
    <t>San Sebastián de los Reyes</t>
  </si>
  <si>
    <t>Andoain, España</t>
  </si>
  <si>
    <t>Miguel Pérez Pereira or Miguel de Jesús Pérez. Internet nick: Mikytoytoy. (Entrepreneur - Innovator - Gamer - Fighter - Global Observer) :D</t>
  </si>
  <si>
    <t>http://www.facebook.com/mikytoytoy</t>
  </si>
  <si>
    <t>Succubitches</t>
  </si>
  <si>
    <t>Los comandos de la muerte de Pablo Iglesias 😂😂😂😂😂😂😂</t>
  </si>
  <si>
    <t>https://pbs.twimg.com/media/DtxJf_jXcAAgAv_.jpg</t>
  </si>
  <si>
    <t>Drake 🇪🇸</t>
  </si>
  <si>
    <t>Former CAU, estudiando un master de guión en la ESCAC, escritora, gamer y fangirl. #DA #RPG #HP #ME #ESDLA #FeministaAF #Sly</t>
  </si>
  <si>
    <t>http://bellatrix-never-died.tumblr.com/</t>
  </si>
  <si>
    <t>Un madridista más. “El que tenga pensado en irse del Madrid, ya sabe donde tiene la puerta”. 🇪🇸</t>
  </si>
  <si>
    <t>Luna2424</t>
  </si>
  <si>
    <t>Pablo Iglesias reivindica la República como solución a los problemas de España</t>
  </si>
  <si>
    <t>https://okdiario.com/espana/2018/12/06/pablo-iglesias-reivindica-republica-como-solucion-problemas-espana-3435080#.XAmmRbbBx5w.twitter</t>
  </si>
  <si>
    <t>Chuso</t>
  </si>
  <si>
    <t>♠Fernando78MM 💯 ❌💯 🇪🇸</t>
  </si>
  <si>
    <t>Vaya vaya lo que hace @ahorapodemos apropiarse y plagiar a otros su imagen comercial. Ya no les quedan ideas a estos 👇🏻 @Pablo_Iglesias @pnique @ierrejon @Zeildoux @vox_es @PhilAMellows</t>
  </si>
  <si>
    <t>https://pbs.twimg.com/media/DtxIIYYWsAAXwIx.jpg</t>
  </si>
  <si>
    <t>🇪🇸 Español y Madridista. Al pasar por la casa de Andrés Torrejon me susurró,como el 2 de Mayo de 1808, los gatos pardos,degollaban cuellos franceses. Mostoles</t>
  </si>
  <si>
    <t>César 🇪🇸 The Apache Helicopter 🇪🇸 Rodríguez</t>
  </si>
  <si>
    <t>Creo que @Santi_ABASCAL y @vox_es deberían denunciar a Pablo Iglesias por esto. Digo que Santiago Abascal y Vox deberían hacerlo, por que son los únicos con la valentía suficiente para ello, y estoy seguro de que los españoles donariamos dinero para ello cómo ya se ha hecho. RT @elizabethdsc1: @Pablo_Iglesias_ Debe ser acusado Incitacion al Odio Quienes públicamente fomenten, promuevan o inciten directa o indirectamente al odio, hostilidad, discriminación o violencia contra un grupo, una parte del mismo o contra una persona determinada. Hilo</t>
  </si>
  <si>
    <t>https://twitter.com/elizabethdsc1/status/1070754332444901376
https://twitter.com/okdiario/status/1070621350002417664</t>
  </si>
  <si>
    <t>Galicia; España</t>
  </si>
  <si>
    <t>Sangre y Oro. Cielo y Mar Español de galicia, tengo criterio propio, respeta mi opinión y respetaré la tuya. KakaoTalk ID: memoloamimismo #UngaUngaArmy</t>
  </si>
  <si>
    <t>Carlos Bucio Borja</t>
  </si>
  <si>
    <t>El torero Fran Rivera apoya a Vox y estalla contra Pablo Iglesias | Eco Republicano | Diario República Española</t>
  </si>
  <si>
    <t>https://www.ecorepublicano.es/2018/12/el-torero-fran-rivera-apoya-vox-y.html?m=1</t>
  </si>
  <si>
    <t>malaga, torre de españa</t>
  </si>
  <si>
    <t>Una Grande y Libre Viva España</t>
  </si>
  <si>
    <t>Diego Juarez</t>
  </si>
  <si>
    <t>Costa Rica</t>
  </si>
  <si>
    <t>Saved by Grace alone. Guitarist, Musician #WorldMusic &amp; #EthnoJazz</t>
  </si>
  <si>
    <t>https://www.facebook.com/ethnojazzguitarfusion</t>
  </si>
  <si>
    <t>Ignacio Martinez</t>
  </si>
  <si>
    <t>I liked a @YouTube video  Santiago Abascal: 'Deseamos que Pablo Iglesias siga insultándonos todos los días'</t>
  </si>
  <si>
    <t>SrHaddock</t>
  </si>
  <si>
    <t>Otra Vuelta de Tuerka - Pablo Iglesias con Luis María Ansón</t>
  </si>
  <si>
    <t>Liberal, no solo en lo económico. Pasaba por aquí y me gustó. RT ≠ endorsement.</t>
  </si>
  <si>
    <t>Anita Misteriosa</t>
  </si>
  <si>
    <t>Uruguay, Canelones, La Paz</t>
  </si>
  <si>
    <t>Me gustan los musicales del Takarazuca.</t>
  </si>
  <si>
    <t>http://www.youtube.com/user/AnitaMisteriosa</t>
  </si>
  <si>
    <t>Ánimo, Pablo, es difícil hacerlo peor "La desorientación de Pablo Iglesias es notable, empieza a ver fachas allá donde mira".</t>
  </si>
  <si>
    <t>https://www.dailymotion.com/video/x6yi1ir</t>
  </si>
  <si>
    <t>Manuel Vilas</t>
  </si>
  <si>
    <t>Pablo Iglesias: “El discurso del Rey ha sido decepcionante”  vía @elpais_espana</t>
  </si>
  <si>
    <t>Escritor. Su último libro se titula "Ordesa", publicado por Alfaguara.</t>
  </si>
  <si>
    <t>https://www.megustaleer.com/libro/ordesa/ES0155130</t>
  </si>
  <si>
    <t>Pedro J. Markov</t>
  </si>
  <si>
    <t>Pablo Iglesias, esto no puede juzgar al PP vía.</t>
  </si>
  <si>
    <t>Emma</t>
  </si>
  <si>
    <t>No soy director de EL ESPAÑOL. Tuits aleatorios a partir de frases de @pedroj_ramirez, con tecnología de @ultracasual. Cuenta no atendida por humanos.</t>
  </si>
  <si>
    <t>https://github.com/tommeagher/heroku_ebooks</t>
  </si>
  <si>
    <t>Eva Maria</t>
  </si>
  <si>
    <t>Suscribo cada palabra del Rincón del Quijote Azul.</t>
  </si>
  <si>
    <t>https://www.cope.es/actualidad/espana/noticias/pablo-iglesias-saluda-los-reyes-pide-republica-20181206_305899</t>
  </si>
  <si>
    <t>https://www.facebook.com/chayeva</t>
  </si>
  <si>
    <t>HÉCTOR  🇪🇸</t>
  </si>
  <si>
    <t>¿Está Pablo Iglesias llamando a la violencia contra Vox?</t>
  </si>
  <si>
    <t>Un día será en Nueva York.</t>
  </si>
  <si>
    <t>Si tienes las manos limpias enséñalas. Cualquier cosa que diga podrá ser utilizada con un bloqueo.</t>
  </si>
  <si>
    <t>Yo también he avalado a Pablo Iglesias Turrion.</t>
  </si>
  <si>
    <t>Indio</t>
  </si>
  <si>
    <t>Echenique criticando que Abascal llevara una pistola para defenderse de ETA y Pablo Iglesias reivindicando el derecho a portar armas. A ver, podéis ser demagogos, pero un orden por favor que liáis a las bases.</t>
  </si>
  <si>
    <t>En tierra hostil.</t>
  </si>
  <si>
    <t>Repaso de un 'rojo' andaluz a Pablo Iglesias: "Cuando usted predica pobreza y se compra un ... -  #GoogleAlerts</t>
  </si>
  <si>
    <t>http://goo.gl/alerts/Nh1Q3</t>
  </si>
  <si>
    <t>Botifler tricornio</t>
  </si>
  <si>
    <t>Lo de Pablo Iglesias plagiando logos ya lo predijeron Los Simpson</t>
  </si>
  <si>
    <t>https://pbs.twimg.com/media/DtxBhApW0AARW4d.jpg</t>
  </si>
  <si>
    <t>La Tabernia de Moe</t>
  </si>
  <si>
    <t>Mal catalán: odio los calçots, la butifarra y los lacitos amarillos. Colecciono bloqueos. A veces hago memes de Los Simpson y escribo hilos de historia.</t>
  </si>
  <si>
    <t>La FISCALÍA debe actuar de OFICIO contra Pablo Iglesias por INCITAR AL ODIO Y A LA VIOLENCIA Art 510 del Código Penal. ⛔️</t>
  </si>
  <si>
    <t>ESPAÑOLES... PABLO IGLESIAS ME HA BLOQUEADO | Que alguien le diga que no le guardo rencor alguno, que respeto lo que ha hecho, pero que bloqueando las críticas demuestra que lo único que pretende en esta red es fomentar su ego, que no es pequeño.</t>
  </si>
  <si>
    <t>ULTIMA NOTICIA： PODEMO MONTA PELUQUERIAS EN TODAS SUS SEDES PARA QUE LAS TIAS DE PODEMOS SE ADECENTEN ANTES DE ACUDIR A LAS MANI. PABLO IGLESIAS (EL CHEPA), ESTA ARTO QUE LE DIGAN QUE SUS FEMINAS SON UN POCO GUARRILLAS Y POR LO MENOS, QUE ASITAN PEINADAS Y LAVADAS. Ciitas aqui</t>
  </si>
  <si>
    <t>https://pbs.twimg.com/media/DtxAStxWkAAT8F3.jpg</t>
  </si>
  <si>
    <t>QUIN - TORRA 🇪🇸</t>
  </si>
  <si>
    <t>Impresionante... El mundo necesita dirigentes políticos con claridad mental para dirigir personas... Para dirigir borregos ya están los comunistas como Pablo Iglesias. RT @fgbfrancisco: @harryelsocio Carta de Abascal a Iglesias</t>
  </si>
  <si>
    <t>https://twitter.com/fgbfrancisco/status/1070798708323876864</t>
  </si>
  <si>
    <t>https://pbs.twimg.com/media/Dtw9vegX4AM_jA3.jpg</t>
  </si>
  <si>
    <t>Español de primera,...simplemente por ser Español, es la ventaja de ser Español.👈🇪🇸</t>
  </si>
  <si>
    <t>antonio fco pachon</t>
  </si>
  <si>
    <t>http://www.diarioalcazar.com/2018/12/pablo-iglesias-podria-ser-juzgado-por.html#.XAjMgJcL2tA.facebook</t>
  </si>
  <si>
    <t>pues nada seguir la vida tranquilamente.</t>
  </si>
  <si>
    <t>José Luis Portela</t>
  </si>
  <si>
    <t>Gabriel cisneros, Miguel Herrero de Miñón, jose pedro perez-llorca, Gregorio peces barba, Jordi Solé, Manuel Fraga y Miguel Roca VERSUS Pedro Sánchez, Casado, Albert Rivera, Pablo Iglesias, Gabriel Rufián, Santiago Abascal, Joaquim Torra No digo mas... #ConstitucionEspanola</t>
  </si>
  <si>
    <t>Director Prog. Dirección Estratégica Proyectos IE Business School. Socio MAGTALENT. Profesor asociado Financial Times / IE. Interim Management Outplacement</t>
  </si>
  <si>
    <t>http://www.joseluisportela.com</t>
  </si>
  <si>
    <t>liche85</t>
  </si>
  <si>
    <t>Hola, bueno que decir, Soy un apasionado de los videojuegos. También me gusta la ciencia y la tecnologia.</t>
  </si>
  <si>
    <t>Kaipuccino</t>
  </si>
  <si>
    <t>El problema es que al no saludar, Pablo Iglesias reconoce la diferencia, les otorga un trato diferencial a los Borbones. RT @larazon_es: #DiaDeLaConstitucion 🤔 @Pablo_Iglesias_ reivindica la República en el acto con los Reyes y evita saludar a Felipe VI.</t>
  </si>
  <si>
    <t>https://twitter.com/larazon_es/status/1070800049448345600
http://lrzn.es/hkasn2</t>
  </si>
  <si>
    <t>Soy como un dios griego: me despierto de mala hostia, estoy siempre cachondo, me gusta pasarlo bien y si me cabreo no hay quien me aguante. Miau.</t>
  </si>
  <si>
    <t>http://lailustrecalavera.blogspot.com.es/</t>
  </si>
  <si>
    <t>#DiaDeLaConstitucion 🤔 Pablo_Iglesias_ reivindica la República en el acto con los Reyes y evita saludar a Felipe VI.</t>
  </si>
  <si>
    <t>https://pbs.twimg.com/media/Dtw_CCKX4AAAiyV.jpg</t>
  </si>
  <si>
    <t>Marcos Guerrero Concepción.</t>
  </si>
  <si>
    <t>Esto no viene al caso. Pero lo digo. Estoy viendo el programa de la 2 en homenaje a la constitución. Soy yo o Campo Vidal tiene la misma voz que Pablo Iglesias? Ahí lo dejo. Igual ya me transtorne. Tanta política no es buena. Buenas noches a todos.🇪🇸🇪🇸 RT @marubimo: Los CDR agreden a Álvaro de Marichalar en Gerona. Así se las gastan los cachorros de la catalanoborroka, que la Ministra de las cloacas @LolaDelgadoG tacha de constitucionalistas. Se nota que con @sanchezcastejon la situación en Cataluña está más "sosegada" 🤔⤵️⤵️</t>
  </si>
  <si>
    <t>https://twitter.com/marubimo/status/1070780218594508800</t>
  </si>
  <si>
    <t>pic.twitter.com/mPojgJunge</t>
  </si>
  <si>
    <t>Cuntis, Pontevedra.</t>
  </si>
  <si>
    <t>Camarero a veces, seguidor del culto siempre, sobre todo si es de terror, ciencia ficción, acción y espada y brujería. Amante de Tolkien y George.R Martín.</t>
  </si>
  <si>
    <t>La Radio a la Carta</t>
  </si>
  <si>
    <t>Podemos, con Pablo Iglesias al frente, ha querido dar la nota en la fiesta de los 40 años de la Cons...</t>
  </si>
  <si>
    <t>http://copiajuridica.es/2018/12/06/podemos-hace-el-ridiculo-mas-espantoso-con-su-emblema-republicano-es-una-copia-de-un-logo-de-peluqueria</t>
  </si>
  <si>
    <t>http://copiajuridica.es</t>
  </si>
  <si>
    <t>https://noticiasvenezuela.org/2018/12/06/carta-abierta-a-pablo-iglesias/</t>
  </si>
  <si>
    <t>TROMPETA..7⏳</t>
  </si>
  <si>
    <t>https://www.youtube.com/attribution_link?a=r04AFrrhZZM&amp;u=%2Fwatch%3Fv%3DICi8x1lwVD4%26feature%3Dshare</t>
  </si>
  <si>
    <t xml:space="preserve">Barcelona. España </t>
  </si>
  <si>
    <t>Nunca lleves tus mejores pantalones cuando salgas a luchar por la paz y la libertad</t>
  </si>
  <si>
    <t>charo gonzalez</t>
  </si>
  <si>
    <t>LauraMR</t>
  </si>
  <si>
    <t>Que Pablo Iglesias, Alberto Rodriguez, Alexandra Fernandez, etc..etc, hayan cogido como logo para su república el de una peluqueria, es por que en el fondo son unos cachondos. Pero muy en el fondo.</t>
  </si>
  <si>
    <t xml:space="preserve"> Estudiante de Historia. !A por el último tramo! “Quien olvida su historia está condenado a repetirla”.- Jorge Agustín Nicolás Ruiz de Santayana.</t>
  </si>
  <si>
    <t>Rosa</t>
  </si>
  <si>
    <t>Se lo podéis mandar a Pablo Iglesias con un lacito? RT @diazvillanueva: Una de las diferencias entre la 2ª República y la monarquía actual es que en la 2ª República era ilegal ser monárquico, al menos en público.</t>
  </si>
  <si>
    <t>https://twitter.com/diazvillanueva/status/1070770236192931841</t>
  </si>
  <si>
    <t>https://pbs.twimg.com/media/DtwjsWXW0AAnysk.jpg</t>
  </si>
  <si>
    <t>Óscar Clavería Ibánez</t>
  </si>
  <si>
    <t>Que a la diputada María Sivent, le han hecho "pupa" los policías, con una bola de viscoelástico (foam) Ella solo quería impedir una concentración en defensa de la constitución. En una peluquería de Pablo Iglesias, le han puesto una venda, pero no la quiere porque "sino no se ve"</t>
  </si>
  <si>
    <t>https://pbs.twimg.com/media/Dtw8LFWXgAAfkyb.jpg</t>
  </si>
  <si>
    <t>Volver a empezar. Ayudar. Comprender. Perdonar. Opinar.</t>
  </si>
  <si>
    <t>José Luis Forteza</t>
  </si>
  <si>
    <t>Pablo Iglesias se salta el saludo protocolario a los reyes en el Congreso  MAL EDUCADO, Además no se entera que la España actual del siglo XXI quiere MARKETING y una MONARQUIA DEMOCRÁTICA antes que un CHINPANZÉ QUE NOS REPRESENTE A TODOS y sirva mucho menos</t>
  </si>
  <si>
    <t>http://a.msn.com/01/es-es/BBQzGwm?ocid=st-UN</t>
  </si>
  <si>
    <t>Máster en Marketing. Me gustan las ventas. Asesor Comercial Telecomunicaciones. Inquieto intelectualmente y en busca de la Evolución Humana Justa para todos.</t>
  </si>
  <si>
    <t>El torero Fran Rivera apoya a Vox y estalla contra Pablo Iglesias --  La osadía fascista es infinita, que este vago llame golfo a un profesor universitario, él que es un reconocido golfo e hijo de una falangista, cocainómana y alcohólica,toda una gpta,,</t>
  </si>
  <si>
    <t>Aitor Riveiro</t>
  </si>
  <si>
    <t>https://pbs.twimg.com/media/Dtw8k-8XgAMHKQF.jpg</t>
  </si>
  <si>
    <t>Periodista a pesar de todo en @eldiarioes. Desaprendí casi todo lo que sé en El País. He escrito un libro sobre Podemos y sigo vivo http://libros.com/comprar/el-cie…</t>
  </si>
  <si>
    <t>https://t.me/AitorRiveiro</t>
  </si>
  <si>
    <t>Carcharoth</t>
  </si>
  <si>
    <t>RASPUTIN</t>
  </si>
  <si>
    <t>BotChus</t>
  </si>
  <si>
    <t>Gracias Pablo Iglesias por inventar Anonymous</t>
  </si>
  <si>
    <t>España o mejor Iberia</t>
  </si>
  <si>
    <t>Rosalía Tranquila</t>
  </si>
  <si>
    <t>Dice Iglesias que la Constitución no puede ser una reliquia. La Carta Magna tiene cuarenta años. Pablo Iglesias está muy cerca de esa edad. ¿También él es una reliquia? ¿Le tiramos a la basura? ¿Todos los monumentos, los arrasamos?¿También a sus padres? Las urnas le sepultaran.</t>
  </si>
  <si>
    <t>La Luna</t>
  </si>
  <si>
    <t>He hecho lo que me ha dado la gana con respeto a los demás 🦉</t>
  </si>
  <si>
    <t>francisco baena</t>
  </si>
  <si>
    <t>Como por arte de magia</t>
  </si>
  <si>
    <t>https://okdiario.com/espana/2018/12/06/pablo-iglesias-reivindica-republica-como-solucion-problemas-espana-3435080?utm_campaign=ok&amp;utm_medium=Social&amp;utm_source=Facebook#Echobox=1544126759</t>
  </si>
  <si>
    <t>NACE EN 1964, HIJO UNICO HIJO DE MILITAR E HIJO DE VIUDA, LCDO EN DERECHO, ABOGADO 22 AÑOS DE EJERCICIO,</t>
  </si>
  <si>
    <t>VOX Toledo</t>
  </si>
  <si>
    <t>https://www.facebook.com/1515069555414575/posts/2162595053995352/</t>
  </si>
  <si>
    <t>Toledo (ESPAÑA)</t>
  </si>
  <si>
    <t>Por la libertad, la unidad de España y la regeneración democrática. La alternativa de los VALORES #VoxNoSeRinde</t>
  </si>
  <si>
    <t>Liverdades</t>
  </si>
  <si>
    <t>http://dlvr.it/Qt17Nx</t>
  </si>
  <si>
    <t>https://pbs.twimg.com/media/Dtw6aigUwAArH7k.jpg</t>
  </si>
  <si>
    <t>Medio digital de opinión política, filosófica y social. Tu opinión es lo más importante. En Facebook https://www.facebook.com/liverdades.es/</t>
  </si>
  <si>
    <t>http://liverdades.com/</t>
  </si>
  <si>
    <t>Juan Jose Lopez Garc</t>
  </si>
  <si>
    <t>Pablo Iglesias: eres un canalla. Por Francisco Lanzas  vía @CorreoDeMadrid</t>
  </si>
  <si>
    <t>https://www.elcorreodemadrid.com/opinion/367154428/Pablo-Iglesias-eres-un-canalla.-Por-Francisco-Lanzas.html</t>
  </si>
  <si>
    <t>Sobre todo respeto.Después, vive y deja vivir .</t>
  </si>
  <si>
    <t>Francisco Rod Aceta</t>
  </si>
  <si>
    <t>Esto no te da vergüenza Pablo Iglesias? la mansión en la que vives ha salido de los estómagos de estos venezolanos desesperados RT @OrbitaEduardo: Venezuela 4/2017. Los de las motos, son paramilitares armados, de N.Maduro para reprimir con muerte a los opositores. Llamados "Colectivos" y sus motos "Caballos de hierro". En España, son los CDRs, Brigadas Feministas y "Antifascistas" apoyadas por PODEMOS e Independentistas.</t>
  </si>
  <si>
    <t>https://twitter.com/OrbitaEduardo/status/1070711855272869889</t>
  </si>
  <si>
    <t>pic.twitter.com/P2gHAg2Nkf</t>
  </si>
  <si>
    <t>pasaba por aquí!</t>
  </si>
  <si>
    <t>caletero</t>
  </si>
  <si>
    <t>Pero ustedes creéis que se puede hacer una reforma de la Constitución con los políticos que tenemos actualmente. Con esa cara de odio de rufián con ese Pablo Iglesias escupiendo veneno por su boca y S Etxenike largando en la redes sociales todo el día. Está más</t>
  </si>
  <si>
    <t>pablenin</t>
  </si>
  <si>
    <t>http://dlvr.it/Qt16tx</t>
  </si>
  <si>
    <t>https://pbs.twimg.com/media/Dtw58fjUUAA5WeZ.jpg</t>
  </si>
  <si>
    <t xml:space="preserve">adrian </t>
  </si>
  <si>
    <t>Yo no quiero una princesa Ni una dama de salón, Lo que busco es la tigresa Que me espose a mi colchón. mago de oz ilusia</t>
  </si>
  <si>
    <t>Lolo Miralla</t>
  </si>
  <si>
    <t>Sotogrande</t>
  </si>
  <si>
    <t>Cada vez tiene menos confianza de los ciudadanos ni siquiera de quienes llegaron a votarles. Eso debería hacerle reflexionar Pablo Iglesias: 'Me da vergüenza como español que exista VOX  vía @MediterraneoDGT</t>
  </si>
  <si>
    <t>Cristiano. Homosexual (No LGTBI) No existe la Violencia de Género. Contrario a la Ideología de Género. La Igualdad No Existe. Deus Vult</t>
  </si>
  <si>
    <t>MARIRI</t>
  </si>
  <si>
    <t>Oye, sois conscientes de que no es necesario ser fan incondicional de Podemos para odiar a VOX, no? Lo pregunto pq los y las q votáis a VOX os jactáis subiendo y retuiteando cosas malas sobre Pablo Iglesias y no...</t>
  </si>
  <si>
    <t>Soy una jeiter. Menos con el sushi. Y el aguacate.</t>
  </si>
  <si>
    <t>Dani S.P.</t>
  </si>
  <si>
    <t>¿Cuándo vas a dejar de hincar la rodilla frente a Pablo Iglesias? #GarzónNoResponde</t>
  </si>
  <si>
    <t>Granada - Ronda.</t>
  </si>
  <si>
    <t>I can’t ‘belive’ this. Look at all the dead bodies!</t>
  </si>
  <si>
    <t>SHOOTER</t>
  </si>
  <si>
    <t>La España que le gusta a Pablo Iglesias... RT @arturelpayaso2: Radicales independentistas, los amigos de Quim Torra y Puigdemont, agreden salvajemente a Álvaro de Marichalar, quien tuvo que huir para no ser linchado. Cataluña está en guerra, y quien no lo vea, que se lo haga mirar.</t>
  </si>
  <si>
    <t>Nunca hay que dejar el control q ellos quieren... Cual es?.. El control del TRIBUNAL SUPREMO... Ese es el control del Gobierno... Cuidadad estas premisas.</t>
  </si>
  <si>
    <t>🇪🇸 José A. Barrero 🇪🇸</t>
  </si>
  <si>
    <t>En Beauty Salon es donde va Pablo Iglesias a que le cuiden la coleta.</t>
  </si>
  <si>
    <t>Cáceres, Extremadura, ESPAÑA</t>
  </si>
  <si>
    <t>IMPERDONABLE</t>
  </si>
  <si>
    <t>http://instagram.com/j7barrero</t>
  </si>
  <si>
    <t>Plaza Podemos</t>
  </si>
  <si>
    <t>[Top Día] La mejor vacuna frente a la extrema derecha es defender a la gente trabajadora. El fascismo y la extrema derecha se alimentan de las consecuencias de la aplicación de políticas neoliberales. [Pablo Iglesias]</t>
  </si>
  <si>
    <t>http://dlvr.it/Qt16Fc</t>
  </si>
  <si>
    <t>https://pbs.twimg.com/media/Dtw47XOUcAAbF2v.jpg</t>
  </si>
  <si>
    <t>Cuenta oficial de Plaza Podemos del @EQParticipacion. Traemos las novedades, noticias e hilos del momento de Plaza Podemos y Plaza Podemos 2.0</t>
  </si>
  <si>
    <t>http://plaza.podemos.info</t>
  </si>
  <si>
    <t>Telepozzas</t>
  </si>
  <si>
    <t>Pablo Iglesias,no celebra la Constitución del 78 porque no la votó. Pero si celebra, la de los, Demócratas. Y son tan demócratas,que la sucesión que utilizan en sus Repúblicas, no las hacen por fecundación, como hace la Monarquía. Ellos las hacen por cojones pero sin esperma.</t>
  </si>
  <si>
    <t>https://pbs.twimg.com/media/Dtw46GBXQAEHQWW.jpg</t>
  </si>
  <si>
    <t>CASTILLA LA NUEVA ESPAÑA</t>
  </si>
  <si>
    <t>Amante de la doble w,vivir y dejar vivir,si me dejan,si no me dejan, no dejo,por los cuatro puntos cardinales,🇪🇸🇪🇸🇪🇸🇪🇸 y si quieren cardenales también.</t>
  </si>
  <si>
    <t>La vida de Pablo Iglesias debe ser bastante triste a pesar de tener piscina, chimenea, una mujer guapa (AUNQUE TONTA) y todos los lujos que quiera. Ya lo veo ahí en su casa tirado en el sofá echando espuma por la boca con los resultados de las elecciones andaluzas.</t>
  </si>
  <si>
    <t>Spanier</t>
  </si>
  <si>
    <t>Joseluis</t>
  </si>
  <si>
    <t>A Pablo Iglesias no le gusta el de VOX porque monta a caballo.</t>
  </si>
  <si>
    <t>https://pbs.twimg.com/media/Dtw4WJwWkAAoJjg.jpg</t>
  </si>
  <si>
    <t>Llegué a Twitter con los amigos hechos. Si me escribes, procura venir leído y aprendido. No pierdo tiempo con idioteces de anónimos.</t>
  </si>
  <si>
    <t>DAVID</t>
  </si>
  <si>
    <t>Javier Orduña</t>
  </si>
  <si>
    <t>A PABLO IGLESIAS Por favor, Pablo, mira este vídeo. Es muy corto. Vale la pena. Y espero que te haga reflexionar. Esto es lo que pasa cuando se incita al odio, a la revolución. Aquí lo tienes. RT @gamalfer: El chaval se ve que tiene hambre de lucha (?)</t>
  </si>
  <si>
    <t>https://twitter.com/gamalfer/status/1070434030527700994
https://twitter.com/josepramonbosch/status/1070226205373333505</t>
  </si>
  <si>
    <t>Cala Mendia</t>
  </si>
  <si>
    <t>http://clasedelengua.webnode.es</t>
  </si>
  <si>
    <t>Roberto Cases</t>
  </si>
  <si>
    <t>Cada vez que Pablo Iglesias habla ó actúa, le caen 1000 votos más a VOX.</t>
  </si>
  <si>
    <t xml:space="preserve">Torrevieja </t>
  </si>
  <si>
    <t>C.C Torremarina C.C. Molino Plaza Vegabuild s.l.</t>
  </si>
  <si>
    <t>RojoyNegro</t>
  </si>
  <si>
    <t>Pablo Iglesias cierra la Jornada 'España: Feminismo, República y Democra...</t>
  </si>
  <si>
    <t>https://www.youtube.com/watch?v=SYDcIq0xzZQ&amp;feature=share</t>
  </si>
  <si>
    <t>No nos importan las ruinas porque estamos llamados a heredar la tierra. Buenaventura Durruti.</t>
  </si>
  <si>
    <t>Vecino de Orden</t>
  </si>
  <si>
    <t>Claro @JulianaEnric el lenguaje de Pablo Iglesias es fabuloso cuando habla contigo. Repasa sus discursos en La Tuerka, anda. Dice Abascal algo parecido desde el otro lado y ya le hubieráis colgado como a Mussolini. Juliana era del PSUC y de ahí su cariño a Iglesias. RT @JosPastr: Podría haber dicho que la Transición hubiera sido imposible con el lenguaje de Torra, Rufián, Otegi... Pero no: el lenguaje de Casado y Rivera.</t>
  </si>
  <si>
    <t>https://twitter.com/JosPastr/status/1070655772491702273</t>
  </si>
  <si>
    <t>Les Corts, les Espanyes</t>
  </si>
  <si>
    <t>De derechas para que no nos quiten misa ni cuartos/Ni buenismo ni malismo/Contra chusmización de la política/Antisectarios/ProVerdad/Fueros/Virtud en libertad</t>
  </si>
  <si>
    <t>TRUJILLO</t>
  </si>
  <si>
    <t>Pablo Iglesias, el que trata a Otegui como colega, echa en cara al rey emérito su encuentro fortuito con el príncipe saudí...</t>
  </si>
  <si>
    <t>SANTA CRUZ DE TENERIFE</t>
  </si>
  <si>
    <t>JUBILADO.</t>
  </si>
  <si>
    <t>ContraTodoPoder</t>
  </si>
  <si>
    <t>Los fachas se sienten molestos por las manifestaciones antifascistas y culpan a Pablo Iglesias, pero nadie se preocupa que hay grupos organizados de extrema derecha para abuchear a Pedro Sánchez cada vez que aparece. #PedroSanchez #respect #President</t>
  </si>
  <si>
    <t>Santa Cruz de Tenerife, Spain</t>
  </si>
  <si>
    <t>Canal para reflexionar sobre el mundo de la política, la cultura y el deporte. Experto en periodismo, edición y escritor.</t>
  </si>
  <si>
    <t>http://goo.gl/MUc9sh</t>
  </si>
  <si>
    <t>JP Maestre 🏳️‍🌈</t>
  </si>
  <si>
    <t>Research Associate @ UT-Austin, Environmental Scientist, Microbial Ecologist, Gardener, Cook, Cordobés, Austinite, Barcelonino. IAQ/WQ. Pron: He/his, they/them.</t>
  </si>
  <si>
    <t>Roberto Inguanzo</t>
  </si>
  <si>
    <t>La carta de Santiago Abascal a Pablo Iglesias es preci(o)sa.</t>
  </si>
  <si>
    <t>EstadoSpañol.</t>
  </si>
  <si>
    <t>Malo en el deporte nivel el tenis es un juego de azar.</t>
  </si>
  <si>
    <t>Don Vito</t>
  </si>
  <si>
    <t>El socio constitucionalista Pablo Iglesias (Podemos) sobre ETA y la transición  vía @YouTube</t>
  </si>
  <si>
    <t>https://youtu.be/7LzYOPmLX08</t>
  </si>
  <si>
    <t>......vienes a mi casa, el día de la boda de mi hija...</t>
  </si>
  <si>
    <t>Javier Barraycoa</t>
  </si>
  <si>
    <t>Pablo Iglesias puede celebrar lo que quiera, es una reencarnación el Pablo Iglesias que fundó el PSOE, lo que pasa que es como la clonación, cada reencarnación degenera más RT @Bcnisnotcat_: ✊ Pablo Iglesias no quiere celebrar los 40 años de la Constitución porque "él no estuvo ni la votó". ¿Alguien sabe si estuvo en la Revolución Rusa?🤣 No te enfades @Pablo_Iglesias_ 😉 🙏</t>
  </si>
  <si>
    <t>Reflexiones en Tiempos críticos, esperando que la belleza salve el Mundo.</t>
  </si>
  <si>
    <t>https://www.facebook.com/Javier-Barraycoa-530829093737264/</t>
  </si>
  <si>
    <t>Muy fácil. Errejón es Pablo Iglesias mejor disfrazado, más falso. Dice lo que necesita para quedar bien, pero piensa y quiere lo mismo que Iglesias. No es el líder porque dentro es como todos y dentro lo saben, y fuera se hace el moderado. RT @gagodecadi: Porque este chiquillo no es el líder de podemos ? Por que zeño porque</t>
  </si>
  <si>
    <t>https://twitter.com/gagodecadi/status/1070429112987250688
https://twitter.com/el_pais/status/1070299755706703873</t>
  </si>
  <si>
    <t>Meme Case</t>
  </si>
  <si>
    <t>J.Simón ❤📚🥋🌍✍🌺🌺</t>
  </si>
  <si>
    <t>Podemos rechaza aplaudir al rey y Pablo Iglesias exige modernizar la Carta Magna</t>
  </si>
  <si>
    <t>https://www.lavozdegalicia.es/noticia/espana/2018/12/06/podemos-rechaza-aplaudir-rey-pablo-iglesias-exige-modernizar-carta-magna/00031544098599071259903.htm</t>
  </si>
  <si>
    <t>Así lo veo. ☘️ Así lo pienso. ☘️ Así lo siento. ☘️ 🎩🎩🎩 Santiago de Compostela</t>
  </si>
  <si>
    <t>https://m.facebook.com/story.php?story_fbid=2028440170572286&amp;id=100002189679524</t>
  </si>
  <si>
    <t>Ignacio</t>
  </si>
  <si>
    <t>La república no es elegir entre Pablo Iglesias o Felipe VI. Es elegir entre Felipe VI o lo que decidan los ciudadanos.</t>
  </si>
  <si>
    <t>Motilla del Palancar(Cuenca)</t>
  </si>
  <si>
    <t>Politólogo por la @UV_EG. Estudio Recursos Humanos en la @uclm_es y Sociología en la @UNED. Becario de @ibermutuam Formación en @JSPCU. Escribo en @csinequanon</t>
  </si>
  <si>
    <t>Angel?</t>
  </si>
  <si>
    <t>Joder! Es que los Podemitas son cutres y vagos hasta para copiar... Al menos podían haber cambiado algo... A ver si al final Pablo Iglesias se va a llamar Pablo Ramírez???</t>
  </si>
  <si>
    <t>https://pbs.twimg.com/media/Dtwzs2SW4AEomK9.jpg</t>
  </si>
  <si>
    <t>Cada grito de ellos es un latido nuestro... Viva España!</t>
  </si>
  <si>
    <t>A Pedro Varela lo metieron en prisión por vender "Mi lucha" (se vende hasta en la Casa del Libro) entre otros, y por "incitar al odio" negándolo (¿?) Pablo Iglesias está libre tras incitar al odio el domingo ocurriendo 3 días después cosas como ésta:</t>
  </si>
  <si>
    <t>Spamagyar</t>
  </si>
  <si>
    <t>Watch "Protestas contra VOX en Andalucía - Pablo Iglesias y Soldado Cebolleta - Coto de Caza Progre 37" on YouTube -</t>
  </si>
  <si>
    <t>NoPotemos</t>
  </si>
  <si>
    <t>fiscal general del estado Español : imputación de Pablo Iglesias he ilegalizacion de Podemos  vía @change_es</t>
  </si>
  <si>
    <t>https://www.change.org/p/fiscal-general-del-estado-espa%C3%B1ol-imputaci%C3%B3n-de-pablo-iglesias-he-ilegalizacion-de-podemos?recruiter=624267251&amp;utm_campaign=signature_receipt&amp;utm_medium=twitter&amp;utm_source=share_petition</t>
  </si>
  <si>
    <t>Una mentira repetida mil veces se convierte en una realidad. (Joseph Goebbels) Ministro de propaganda de la Alemania nacionalsocialista.</t>
  </si>
  <si>
    <t>https://pbs.twimg.com/media/Dtv7diHX4AAZFtV.jpg</t>
  </si>
  <si>
    <t>Lucio Cornelio Sila</t>
  </si>
  <si>
    <t>Se espera, de un momento a otro, que @agarzon y Su Alteza Real Don @Pablo_Iglesias de Borbón y Turrión anuncien oficialmente el cambio de nombre de su coalición, que en lo sucesivo pasará a denominarse 'Ahora Peinamos'.</t>
  </si>
  <si>
    <t xml:space="preserve">Gallaecia </t>
  </si>
  <si>
    <t>Lucio Cornelio Sila ,fue uno de los más notables políticos y militares romanos.Cónsul en los años 88 y 80 a. C. y dictador entre los años 81 a. C. y 80 a. C.</t>
  </si>
  <si>
    <t>Jesus Broceño</t>
  </si>
  <si>
    <t>Los CDR son las “tropas de asalto” de Torra,Pablo Iglesias,Sánchez y cía. Tanta culpa tiene el que los envía y alienta como el que puede pararlos y no lo hace. Se repite la historia de los 30’s... RT @PerdigueroSIPEp: La importancia de la perspectiva, al final los cdr son cuatro gatos. Pero la que pueden liar esos cuatro.</t>
  </si>
  <si>
    <t>https://twitter.com/perdiguerosipep/status/1070700361797812224</t>
  </si>
  <si>
    <t>pic.twitter.com/5bj4c4RQrb</t>
  </si>
  <si>
    <t>Puertollano</t>
  </si>
  <si>
    <t>¡Oferta en tatuajes,el 2X3 ya está aquí!Hazte 2,paga 3...</t>
  </si>
  <si>
    <t>Pablo Iglesias decreta "alerta antifascista" y llama a la movilización contra los "postfranquistas" de Vox "AVISO A SÁNCHEZ: QUE SEPA QUIÉNES SON SUS ALIADOS"  vía @epnacional</t>
  </si>
  <si>
    <t>https://www.europapress.es/nacional/noticia-pablo-iglesias-decreta-alerta-antifascista-llama-movilizacion-contra-postfranquistas-vox-20181202233123.html</t>
  </si>
  <si>
    <t>elizabeth</t>
  </si>
  <si>
    <t>nemo patriam quia magna est amat, sed quia sua</t>
  </si>
  <si>
    <t>40 Aniversario Constitución: Pablo Iglesias: “Apostamos por que la libre decisión de los pueblos construya un proyecto unido” | España | EL PAÍS</t>
  </si>
  <si>
    <t>Ningún soñador es pequeño y ningún sueño es demasiado grande.</t>
  </si>
  <si>
    <t>BERNARDO MARFIL ARAG</t>
  </si>
  <si>
    <t>Carlos Calle. El Señor Gran Rivera se a ganado ese chalés , con el sudor de su frente  como El coletas de PODEMOS</t>
  </si>
  <si>
    <t>http://TOREANDO.No
http://ver.abc.es/b2pen2</t>
  </si>
  <si>
    <t>Torre del mar-Malaga</t>
  </si>
  <si>
    <t>mi numero whatsap 652689840 el anterior ya no lo tengo Busco novia de 30-40 alrededor de mi zona Tengo Instargram bernardo39 http://www.facebook.com/bernardo37</t>
  </si>
  <si>
    <t>Iñaki✈</t>
  </si>
  <si>
    <t>Podemos ha plagiado el símbolo de una peluquería para su ridiculez de la república. Pues a mí no me parece tan raro, ya que ese pelito de Pablo Iglesias Coletas necesita una buena lavada.</t>
  </si>
  <si>
    <t>Parla</t>
  </si>
  <si>
    <t>Madrid-Quito/Guayaquil y viceversa</t>
  </si>
  <si>
    <t>J.C.J.M</t>
  </si>
  <si>
    <t>Para quienes dicen que Pablo Iglesias no quiere traer la represión comunista a España. Ahí lo tenéis. Este hombre es un peligro para las libertades y la democracia. Un fascista morado. Un comunista. RT @PABL0_IGLESIAS: @agarzon Reclamamos con la razón, los derechos sociales, el comunismo y el feminismo un ideal patriótico nuevo para todos y todas #40añosdeConstitución</t>
  </si>
  <si>
    <t>https://twitter.com/PABL0_IGLESIAS/status/1070648569017888768</t>
  </si>
  <si>
    <t>El defecto del capitalismo es el desigual reparto de la riqueza, el del comunismo el igualitario reparto de la miseria. Me sigues, te sigo.</t>
  </si>
  <si>
    <t>Hugo González Castro</t>
  </si>
  <si>
    <t>Persigue tus sueños para despertar.</t>
  </si>
  <si>
    <t>Mª DOLORES SÁNCHEZ</t>
  </si>
  <si>
    <t>Veo Info</t>
  </si>
  <si>
    <t>Pablo Iglesias contrapone “el republicanismo feminista” al discurso de Felipe VI en el aniversario de la Constitución</t>
  </si>
  <si>
    <t>http://www.youtube.com/watch?feature=player_embedded&amp;v=SYDcIq0xzZQ
http://www.veoinfo.com/pablo-iglesias-contrapone-el-republicanismo-feminista-al-discurso-de-felipe-vi-en-el-aniversario-de-la-constitucion/</t>
  </si>
  <si>
    <t>En Veo Info - La Casa de la Información . Las últimas noticias sobre Política, sucesos, deportes, ciencia, tecnología, y mucho + en Veo Info.</t>
  </si>
  <si>
    <t>http://Veoinfo.com</t>
  </si>
  <si>
    <t>Angel Expósito: “Pablo Iglesias orgulloso de los “antifascistas” y con dos guardias civiles 24h en la puerta del casoplón”.  Enviado desde @updayESP</t>
  </si>
  <si>
    <t>https://f7td5.app.goo.gl/m3vAY</t>
  </si>
  <si>
    <t>Periodista Infiltrado</t>
  </si>
  <si>
    <t>Políticamente incorrecto, tengo tantas cosas que decir que si me callo me salen subtítulos</t>
  </si>
  <si>
    <t>RESPUESTA a la CARTA ABIERTA de JUAN MANUEL JIMÉNEZ MUÑOZ acusando a PABLO IGLESIAS de ser el CULPABLE de la reciente ola de FASCISMO en ANDALUCÍA y ESPAÑA. Hoy, a tan sólo 2 días de los asombrosos resultados en...</t>
  </si>
  <si>
    <t>https://www.facebook.com/chuladehuelva/posts/2202188419806067</t>
  </si>
  <si>
    <t>Y no los llaman a declarar a los cabecillas?PABLO IGLESIAS debe estar encarcelado ya RT @Talaverano78: Los socios de Pedro Sánchez siguen con las celebraciones organizadas por Pablo Iglesias por el día de la Constitución.</t>
  </si>
  <si>
    <t>https://twitter.com/Talaverano78/status/1070782108044574720</t>
  </si>
  <si>
    <t>pic.twitter.com/HM7spMfvmA</t>
  </si>
  <si>
    <t>RSS_Noticias</t>
  </si>
  <si>
    <t>Pablo Iglesias contrapone "el republicanismo feminista" al discurso de Felipe VI en el aniversario de la Constitución , en tendencia viral desde December 06, 2018 at 09:15PM</t>
  </si>
  <si>
    <t>http://bit.ly/2SxSrjD</t>
  </si>
  <si>
    <t>hola(@)josemanuelrodos.es</t>
  </si>
  <si>
    <t>Noticias más compartidas/comentadas de medios españoles relevantes (El País, El Mundo, ABC, El Confidencial, http://eldiario.es). Por @josemanuelrodos.</t>
  </si>
  <si>
    <t>eguia-uriamarialuisa</t>
  </si>
  <si>
    <t>En @elconfidencial: Iglesias congela su plan de cogerse la baja de paternidad ante el posible adelanto electoral</t>
  </si>
  <si>
    <t>New York</t>
  </si>
  <si>
    <t>Eguia-Uria-Maria-Luisa-PhDLes interactions entre la mauvaise transmission de l'euskara et les changes psychosociologiques chez la femmeBasque</t>
  </si>
  <si>
    <t>Lee este comentario, y firma la petición. Si las actuaciones de este señor son delictivas, que se le aplique todo el peso de la ley.  vía @change_es</t>
  </si>
  <si>
    <t>http://chng.it/PGBG8dhq</t>
  </si>
  <si>
    <t>José A. Sánchez Calzado</t>
  </si>
  <si>
    <t>¡Encima roñosos! Si no querían gastar mucho, hubiera sido más sencillo coger la silueta de la coleta de Pablo Iglesias... RT @okdiario: .@ahorapodemos usa como logo de su ‘república’ una imagen diseñada para peluquerías ¡¡cuyo diseño cuesta 9,50€!! Por @SegundoSanz 👇</t>
  </si>
  <si>
    <t>https://twitter.com/okdiario/status/1070744186163523591
https://okdiario.com/espana/2018/12/06/podemos-usa-como-logo-republica-imagen-disenada-peluquerias-3436295?utm_campaign=ok&amp;utm_medium=Social&amp;utm_source=Twitter#Echobox=1544120258</t>
  </si>
  <si>
    <t>Doctor en Medicina. Oncólogo Radioterápico jubilado. Humilde escritor de cosas sencillas. Pienso, luego escribo.</t>
  </si>
  <si>
    <t>EL TALAVERANO</t>
  </si>
  <si>
    <t>Los socios de Pedro Sánchez siguen con las celebraciones organizadas por Pablo Iglesias por el día de la Constitución.</t>
  </si>
  <si>
    <t>En el asenso dormito. Si despierto, discordia. 🇪🇸 NO ME PISOTEES.</t>
  </si>
  <si>
    <t>DeiiVid✝️</t>
  </si>
  <si>
    <t>Este chaval no es de mi agrado y mucho menos el partido Podemos. Pero tiene más sentido común que el líder de Podemos Pablo Iglesias... Una lástima que este detrás de ese siempre... Mucha razón tiene en sus declaraciones... RT @ierrejon: No hay 400.000 fascistas en Andalucía. VOX es un síntoma; nuestro combate debe ser contra las causas: la desigualdad, la incertidumbre, el miedo y la precariedad. Tenemos que reconstruir el orden y la seguridad de los de abajo para cerrarle la puerta a los reaccionarios.</t>
  </si>
  <si>
    <t>18 años de mierda y los qe quedan. @realmadrid❤️ ✝️ Dale alegría alegría alegría alegría alegría a mi corazón.. 💯</t>
  </si>
  <si>
    <t>Domingo E.I.M.</t>
  </si>
  <si>
    <t>#Farsantes El arte de sólo mirarse el ombligo: Pablo Iglesias: “El discurso del Rey ha sido decepcionante”  vía @elpais_espana</t>
  </si>
  <si>
    <t>Ciudadano activo retirado de las pugnas partidarias. Hablo varios idiomas. Todos los humanos somos hermanos aunque algunos hagan mal. Ya aprenderán. ¿Y tú?</t>
  </si>
  <si>
    <t>Esto es lo que realmente jode a @pablo_iglesias y sus secuaces. RT @Lamismamente: Mi padre refiriéndose a @vox_es : "Niña ¿has visto el partío ese nuevo que ha salío? Esa gente tiene dos cohone, yo los pienso votá, ni ultra derecha ni ná, que los voto y ya está". Mi padre ¡mi padre, que ha sido toda la vida de izquierdas!. Querida izquierda, estás perdida.</t>
  </si>
  <si>
    <t>https://twitter.com/Lamismamente/status/1070442062133239810</t>
  </si>
  <si>
    <t>Jorge Urreta</t>
  </si>
  <si>
    <t>http://dlvr.it/Qt0xhn</t>
  </si>
  <si>
    <t>https://pbs.twimg.com/media/DtwuSbMUcAA1jZY.jpg</t>
  </si>
  <si>
    <t>Asturias / Vizcaya</t>
  </si>
  <si>
    <t>Incansable #escritor de novelas de intriga. ¿Lo último? Venganza (@libroscom) http://jorgeurreta.com</t>
  </si>
  <si>
    <t>http://www.jorgeurreta.com</t>
  </si>
  <si>
    <t>Nesy</t>
  </si>
  <si>
    <t>El del Rey será decepcionante, pero y los tuyos son de lo peor que hay, y tenemos que tragar, espero que no sea por mucho tiempo Pablo Iglesias: “El discurso del Rey ha sido decepcionante”  #NewsSuite</t>
  </si>
  <si>
    <t>https://elpais.com/politica/2018/12/06/actualidad/1544100381_203267.html#?ref=rss&amp;format=simple&amp;link=link
http://bit.ly/NewsSuite</t>
  </si>
  <si>
    <t>TurboNoticias</t>
  </si>
  <si>
    <t>Sígueme si quieres estar al día de las últimas noticias de la red!!</t>
  </si>
  <si>
    <t>Juanma Vidal</t>
  </si>
  <si>
    <t>Una máquina se enseña a sí misma a ganar en todo  Al contrario que Pablo Iglesias, que se perjudica a sí mismo y a cuanto le rodea que le haga sombra.</t>
  </si>
  <si>
    <t>https://elpais.com/elpais/2018/12/05/ciencia/1544007034_265553.html</t>
  </si>
  <si>
    <t>Luna de Endor</t>
  </si>
  <si>
    <t>Periodista y Productor de TV http://es.linkedin.com/in/juanmavidal ¡Nunca, nunca, nunca te rindas!</t>
  </si>
  <si>
    <t>CMarti</t>
  </si>
  <si>
    <t>Pablo Iglesias está de revolución...</t>
  </si>
  <si>
    <t>https://pbs.twimg.com/media/DtwtV_fX4AUPtuz.jpg</t>
  </si>
  <si>
    <t>Puigdemonty</t>
  </si>
  <si>
    <t>Te puedes hacer una idea de lo solidos que son los principios de Pablo Iglesias cuando el tipo se gasta 600.000 euros un casoplón pero solo 1,99 en defender la República.</t>
  </si>
  <si>
    <t>https://www.larazon.es/espana/el-simbolo-de-la-republica-de-podemos-un-logo-de-peluqueria-que-cuesta-1-99-euros-AM20861991</t>
  </si>
  <si>
    <t>Desde la piscinaca de mi casoplón, lucho contra las emergencias sociales.</t>
  </si>
  <si>
    <t>Pedro M Uribe Guzmán</t>
  </si>
  <si>
    <t>a Pablo Iglesias le ha parecido decepcionante el discurso del Rey de España. ¿Acaso esperaban algo distinto?</t>
  </si>
  <si>
    <t>ÜT: 7.7753299,-72.2056611</t>
  </si>
  <si>
    <t>into the flow of encrypted movement</t>
  </si>
  <si>
    <t>http://derecho-filosofia.blogspot.com/</t>
  </si>
  <si>
    <t>Blondie Power</t>
  </si>
  <si>
    <t>Pablo Iglesias debe saber el secreto de Jordi Hurtado porque cada vez tiene menos arrugas.</t>
  </si>
  <si>
    <t>Si me necesitas, silba y ya de paso me enseñas🐧</t>
  </si>
  <si>
    <t>Eliath-ATURAR CAT</t>
  </si>
  <si>
    <t>Pablo Iglesias se salta el saludo protocolario a los reyes en el Congreso  ESTO SI ME GUSTA DEL COLETAS</t>
  </si>
  <si>
    <t>MARESME, Barcelona, REPÚBLICA CATALUNYA</t>
  </si>
  <si>
    <t>Maki</t>
  </si>
  <si>
    <t>SOCIALISMO 🌹 o MUERTE 💀 ya sabemos lo que es y son esta gentuza... mientras el cobarde cerdo 🐽 cebón se atiborra de carne en los mejores restaurantes del mundo y esto es lo que apoya Pablo Iglesias Y toda su caterva de PODEMITAS COMUNISTAS ☭ RT @TorresAren: EN #20AñosVictoriaPopular SOCIALISTA Este es el desespero d los VENEZOLANOS en Trujillo por comprar un kilo d azúcar PORQUE el régimen no les vende más cantidad POR ESTA razón es q más d 3 MILLONES d vzlanos huyen De su tierra #7Dic #8Dic #BuenViernes</t>
  </si>
  <si>
    <t>https://twitter.com/TorresAren/status/1070633486531342336</t>
  </si>
  <si>
    <t>pic.twitter.com/MfYl7CXC7E</t>
  </si>
  <si>
    <t>#Vox es un partido inconstitucional, por eso ha participado hoy en numerosos actos en toda #España. Nada que ver con los cachorros de Torra y Pablo Iglesias, socios de Sánchez y muy constitucionalistas, que dejan policías heridos,Banderas y libros de la Constitución quemados.</t>
  </si>
  <si>
    <t>https://pbs.twimg.com/media/DtwrtYcXcAAgZVj.jpg</t>
  </si>
  <si>
    <t>Shusej Rel</t>
  </si>
  <si>
    <t>Sr @Pablo_Iglesias me explica en qué va a cambiar Mi vida si hay República?? La suya ya ha cambiado, pero no me cuente él cuento comunista, porque ud muy comunista de boca y poco de hecho.</t>
  </si>
  <si>
    <t>¿ importa mucho ?</t>
  </si>
  <si>
    <t>Español, catalán, en éste orden, hasta los co...es del prucess y de potemos, quiero volver a vivir en una España unida.</t>
  </si>
  <si>
    <t>El fascista morado de Pablo Iglesias llamó a la violencia callejera. El dueño del local destrozado en Cádiz: "Nada hubiera ocurrido sin el llamamiento de Podemos"</t>
  </si>
  <si>
    <t>https://okdiario.com/espana/2018/12/06/dueno-del-local-destrozado-cadiz-nada-hubiera-ocurrido-sin-llamamiento-podemos-3432922#.XAmHIJwNfFs.twitter</t>
  </si>
  <si>
    <t>A que espera la Fiscalía del Estado? Pablo Iglesias podría ser juzgado por incitación a la violencia según el Código Penal</t>
  </si>
  <si>
    <t>http://www.diarioalcazar.com/2018/12/pablo-iglesias-podria-ser-juzgado-por.html#.XAmHE3-Qkjc.twitter</t>
  </si>
  <si>
    <t>Maite</t>
  </si>
  <si>
    <t>Javier González🇪🇸🇪🇺 🇻🇦👨‍⚖️👨‍👩‍👧‍👧✝️</t>
  </si>
  <si>
    <t>Estos Idiotas apoyan la DeclaraciónUniversal de los Derechos Humanos de diciembre de 1948 y la copia de los mismos que es nuestra Constitución de 1978 dicen que no les representa. ¡Por Dios! Cuantos Analfabetos constitucionales. Seguro que Pablo Iglesias es licenciado en politica RT @liberal_mirada: Hoy miles de idiotas afirmarán no sentirse representados por la #ConstitucionEspanola porque no la votaron. ¡Viva la Constitución!</t>
  </si>
  <si>
    <t>https://twitter.com/liberal_mirada/status/1070577276318859264</t>
  </si>
  <si>
    <t>https://pbs.twimg.com/media/Dtt0W5LXQAALW4q.jpg</t>
  </si>
  <si>
    <t>Naci en Lleida, vivo Zaragoza,</t>
  </si>
  <si>
    <t>¡SOLO LOS SABIOS SOMOS SENCILLOS! ". .puedo no estar de acuerdo con tus ideas, pero ten por seguro que lucharía hasta la muerte para que te puedas expresar.</t>
  </si>
  <si>
    <t>Oriana Simoza</t>
  </si>
  <si>
    <t>Pablo Iglesias contrapone "el republicanismo feminista" al discurso de Felipe VI en el aniversario de la Constitución  … Por @ikaitorpic.twitter.com/lT3HkerSXc</t>
  </si>
  <si>
    <t>https://www.eldiario.es/politica/Pablo-Iglesias-contrapone-republicanismo-feminista_0_843416120.html
http://dlvr.it/Qt0vFD</t>
  </si>
  <si>
    <t>https://pbs.twimg.com/media/DtwqZS_U8AAfAvK.jpg</t>
  </si>
  <si>
    <t>Amante de la Naturaleza y la Familia</t>
  </si>
  <si>
    <t>Eduardo Andradas</t>
  </si>
  <si>
    <t>Un placer y honor, conocer, hablar y escuchar a @japtapias un referente del socialismo de Pablo Iglesias Posse. En las jornadas por #UnaConstitucionModerna #40aniversarioconstitucion hablando de #Republica y federalismo. #Madrid #Alcobendas #Ateneo</t>
  </si>
  <si>
    <t>https://pbs.twimg.com/media/DtwpcM6X4AEubrU.jpg</t>
  </si>
  <si>
    <t>Alcobendas (Madrid)</t>
  </si>
  <si>
    <t>Concejal de Si Se Puede~Alcobendas</t>
  </si>
  <si>
    <t>http://elleteoenverso.blogspot.com/</t>
  </si>
  <si>
    <t>Cayetano Sanchez🇪🇸</t>
  </si>
  <si>
    <t>A Pablo Iglesias porqué no lo detienen???? RT @EspejoPublico: 🔴@Santi_ABASCAL: "Le haremos responsable a @Pablo_Iglesias_ de todos los ataques que se hagan contra @vox_es" ▶ #SusanaNOJuntaESP</t>
  </si>
  <si>
    <t>https://twitter.com/EspejoPublico/status/1069550527279783941
http://atres.red/prwad1</t>
  </si>
  <si>
    <t>pic.twitter.com/RHQpbNJCKo</t>
  </si>
  <si>
    <t>Santos Agrela</t>
  </si>
  <si>
    <t>Pablo Iglesias tiene derecho a no aplaudir al Jefe de Estado, tiene derecho a criticar su discurso, tiene derecho a reivindicar la República... ...y yo tengo derecho a no votarle. Parece que una mayoría de españoles ya ejerce este derecho y que cada vez son más</t>
  </si>
  <si>
    <t>Médico de Familia. Tutor. Interesado en la gente, la comunicación, la bioética, la gestión sanitaria y en viajar, viajar, viajar...</t>
  </si>
  <si>
    <t>Maía</t>
  </si>
  <si>
    <t>Dice Pablo Iglesias hay q apostar por la fraternidad y la libertad. Fraternidad la suya y su partido con otros ¡Fraternidad!La de él cuando arenga a los🤤🤤 a salir a la calle a destrozar mobiliario, negocios,quemar nuestra 🇪🇸y lo peor,pegar transeúntes. Fraternidad? ¡CÍNICO!</t>
  </si>
  <si>
    <t>La vida es una aventura digna de vivir. No pierdo ni un instante de mi valioso tiempo contestando a maleducados. ¡Dos no se pelean si uno no hiere...¡Respeto!</t>
  </si>
  <si>
    <t>hanna</t>
  </si>
  <si>
    <t>Pablo Iglesias pidiendo que se reforme la constitución para pedir la igualdad entre hombres y mujeres , lo que demuestra que nunca se la ha leído . O el artículo 14 se lo ha saltado. QUE FUERTE Y QUÉ IMBÉCIL</t>
  </si>
  <si>
    <t>Os esperamos en las generales . VOX , un partido de extrema ...NECESIDAD🇪🇸</t>
  </si>
  <si>
    <t>✅¿Es #VOX un partido fascista? 🗣️@Pablo_Iglesias declaró la #alertaantifascista desde #PodemosEsChavismo Preguntemos por tal circunstancia, pues, al auténtico fascista: #BenitoMussolini Hilo #Extremaderecha #Fascismo #LaSilenciosaCat</t>
  </si>
  <si>
    <t>https://pbs.twimg.com/media/DtwobRaWsAAKEJ2.jpg</t>
  </si>
  <si>
    <t>Jacobo González</t>
  </si>
  <si>
    <t>Cada vez me asusta más Pablo Iglesias. Hoy conectaba la monarquía, la corrupción, con la necesidad de una república feminista. Estoy empezando a pensar que quizás.... este loco.</t>
  </si>
  <si>
    <t>1966. Felizmente casado, la verdad. Abogado. Padre de dos hijos.</t>
  </si>
  <si>
    <t>Pablo Iglesias mando a organizar actos vandálicos e incendiarios contra Vox, pero como es el cabecilla, tuvo a buen recaudo esconderse en su casoplón (mientras los amotinados por el sufrían de lo lindo) para no le pasase nada. Y hubieron detenciones...menudo energúmeno!!</t>
  </si>
  <si>
    <t>ღαɾtα 🎗</t>
  </si>
  <si>
    <t>Noticias de las 21:00 "Ovación a los reyes eméritos" "Ovación al rey" "Aplausos de Letizia a Felipe sesssto" "Pablo Iglesias desaliñado" "Cataluña es el mal." Fascinante.</t>
  </si>
  <si>
    <t>en Barcelona</t>
  </si>
  <si>
    <t>Si te preguntan, soy yo</t>
  </si>
  <si>
    <t>jbengoa</t>
  </si>
  <si>
    <t>Pablo Iglesias es uno de los referentes del @elfrente_amplio Tipo intolerante, clasista, contrario a la libertad de prensa, contrario a la propiedad privada y mentiroso. Un marxista de tomo y lomo! RT @Elias_Parada_S: A veces me pregunto ¿por qué tenemos políticos que hablan tanta tontera? y luego recuerdo que son seguidores de podemos y @pablo_iglesias.</t>
  </si>
  <si>
    <t>https://twitter.com/Elias_Parada_S/status/1070711414258581504</t>
  </si>
  <si>
    <t>Ismagosa</t>
  </si>
  <si>
    <t>Quienes son los Fascistas? @gabrielrufian @sanchezcastejon Pablo Iglesias, quienes son? RT @lbalcarce: "Apretad, apretad..." Los socios de Pedro Sánchez corriendo detrás de Marichalar para darle una paliza por defender la Constitución.</t>
  </si>
  <si>
    <t>https://twitter.com/lbalcarce/status/1070734243372896258</t>
  </si>
  <si>
    <t>pic.twitter.com/sjQdKDqZaB</t>
  </si>
  <si>
    <t>Cuando miro a mi alrededor y veo todo lo que esta pasando... pienso... Realidad o Ficción</t>
  </si>
  <si>
    <t>LIBERTARISMO COLOMBIA</t>
  </si>
  <si>
    <t>Tenemos a nuestro Pablo Iglesias, les encanta posar de demócratas pero cuando pierden es por el fascismo. No era petro el que defendía el control político? O es que cuando es a él le molesta mucho?. Estas cayendo cada vez más bajo gustavito. RT @petrogustavo: Toda la militancia de la Colombia Humana debe entender que han dado orden de destruirnos. No estamos en una democracia. Hoy deben suspenderse las discusiones electorales y preparar los momentos de la movilización generalizada y la solidaridad mundial.</t>
  </si>
  <si>
    <t>https://twitter.com/petrogustavo/status/1070748700681662471</t>
  </si>
  <si>
    <t>¡ Que viva la libertad carajo !</t>
  </si>
  <si>
    <t>Juan Pombar</t>
  </si>
  <si>
    <t>Para entender la magnitud del éxito de la Constitucion Española imaginad que hace 40 años se sentaron en la misma mesa Pablo Casado, Pedro Sánchez, Albert Rivera, Pablo Iglesias, Alberto Garzón, Gabriel Rufián y Santiago Abascal. Y llegaron a un acuerdo.</t>
  </si>
  <si>
    <t xml:space="preserve">Urantia </t>
  </si>
  <si>
    <t>Poeta en mis versos libres. Proyecto de optimista patológico. Doctorado en causas perdidas. Ciencia con piel de letra.</t>
  </si>
  <si>
    <t>http://www.pensamientosreducidos.es/</t>
  </si>
  <si>
    <t>P. D. José David</t>
  </si>
  <si>
    <t>. @circulopodemos @ahorapodemos + vale que dejéis de decir tonterías sobre si hay que quitar al rey o no, Q si estos son Ksta, q si aquellos fachas. q pasa con El chalet de Pablo Iglesias e Irene, las irregularidades de su compra y el cambio de barrio Te vas en bici a Galapagar?</t>
  </si>
  <si>
    <t>Madrid (Principalmente)</t>
  </si>
  <si>
    <t>Enfermero-EPS/Fisioterapeuta UAH E.U. Enfermeria y fisioterapia Prof. A.E. Desarrollo Humano PG. E.U.F. UAM</t>
  </si>
  <si>
    <t>Miguel Rodríguez 🇪🇸🇪🇸🇪🇸</t>
  </si>
  <si>
    <t>Joder el puto Pablo Iglesias siempre tiene el mismo discurso que pesao tú</t>
  </si>
  <si>
    <t>Musho @realbetis Hala @realmadrid y viva España 🇪🇸🇪🇸🇪🇸</t>
  </si>
  <si>
    <t>La SS de Pablo Iglesias crea otra noche de los cristales rotos. Nos golpean, nos insultan, pintan nuestras casas. Pero Vox España ha venido para quedarse, porque somos de extrema necesidad, Vox España.</t>
  </si>
  <si>
    <t>https://youtu.be/Min28YfS0_c</t>
  </si>
  <si>
    <t>MAd Madrid</t>
  </si>
  <si>
    <t>No quiero ni pensar que en una hipotética república alguien como Pedro Sánchez o Pablo Iglesias pudiesen ser el presidentes.</t>
  </si>
  <si>
    <t>Una segunda oportunidad la merecemos todos.</t>
  </si>
  <si>
    <t>Sin embargo, lo que no le interesa recordar a los de Pablo Iglesias es que Abascal vivió 12 años con escolta (hasta 2011). Mucho antes de que el líder de Podemos se fotografiara con los familiares de los que dieron una paliza a dos guardias civiles y sus parejas en Alsasua.</t>
  </si>
  <si>
    <t>https://pbs.twimg.com/media/DtwnyVsWkAASFxv.jpg</t>
  </si>
  <si>
    <t>y de primero⁉️</t>
  </si>
  <si>
    <t>Atocha Dice Pablo iglesias sobre el discurso de Felipe VI, q lo importante no es la constitución, es la gente Se puede ser más cursi y demagogo 🤦🏻‍♂️</t>
  </si>
  <si>
    <t>https://pbs.twimg.com/media/DtwnrDkW4AE6-L3.jpg</t>
  </si>
  <si>
    <t>Maputo</t>
  </si>
  <si>
    <t>a ver q es esto....🤦🏻‍♂️</t>
  </si>
  <si>
    <t>TAPPY</t>
  </si>
  <si>
    <t>Estaba buscando a Wally en uno de sus libros y he encontrado el cuello de Pablo Iglesias.</t>
  </si>
  <si>
    <t>Cómico, actor, guionista, productor, showman... Comedy Central. El Club de la Comedia.</t>
  </si>
  <si>
    <t>http://www.tappy.es</t>
  </si>
  <si>
    <t>¿Por que Pablo Iglesias tiene tanto empeño en acabar con la monarquía? ¿porque sabe que en las urnas se va a comer los mocos y prefiere comer caviar en el avión como Pedro Sánchez? Y si hay dos puestos tiene el doble de posibilidades de pillar, porq q le gusta la pasta está claro</t>
  </si>
  <si>
    <t>Prowl Prówlez</t>
  </si>
  <si>
    <t>Me encanta como piensa esta gente: Democracia es sólo si sale lo que a mi me gusta, sois todos unos fascistas. Protestas contra VOX en Andalucía - Pablo Iglesias y Soldado Cebolleta -...  vía @YouTube</t>
  </si>
  <si>
    <t>Todo comenzó allá por el año 1977...</t>
  </si>
  <si>
    <t>Rafael Landaeta</t>
  </si>
  <si>
    <t>Pablo Iglesias y Alberto Garzón con su mal vestir y al no aplaudir el discurso del Rey no menosprecian a éste, ofenden al sistema democrático al cual pertenecen y representan.</t>
  </si>
  <si>
    <t>FROILAN HERRERO</t>
  </si>
  <si>
    <t>El #rey, discurso perfecto. Pablo Iglesias, no ha sorprendido en sus declaraciones. Esperaba una evolución, después de pedir un levantamiento. Tenía que respetar el voto.ñ, la #democracia .</t>
  </si>
  <si>
    <t>Abascal. Toda la vida viviendo de las CCAA y ahora queriendo su supresión. Imaginaoslo a la inversa, Pablo Iglesias TODA su vida en CCAA con trabajos a dedo pidiendo ahora su disolución. Vaya nivel Antonio date una ducha RT @antoniocruzzgz: @sterlingmrch @vox_es Luego te sale un engendro como Echeminga diciendo que lleva 20 años viviendo de sueldos públicos</t>
  </si>
  <si>
    <t>https://twitter.com/antoniocruzzgz/status/1070714752119250949</t>
  </si>
  <si>
    <t>No Gods or Kings. Only man.. https://twitter.com/elchiringuitot…</t>
  </si>
  <si>
    <t>Agustin Montes</t>
  </si>
  <si>
    <t>Me ha gustado un vídeo de @YouTube ( - Daniel Lacalle *vs* Pablo Iglesias: Impresión de Moneda y</t>
  </si>
  <si>
    <t>http://youtu.be/lnKXjTVyCgg?a</t>
  </si>
  <si>
    <t>Love digital marketing, tech, new ventures and sailing!</t>
  </si>
  <si>
    <t>Pablo Iglesias contrapone "el republicanismo feminista" al discurso de Felipe VI en el aniversario de la Constitución  Por @ikaitor</t>
  </si>
  <si>
    <t>https://pbs.twimg.com/media/DtwicNdXgAIyCfk.jpg</t>
  </si>
  <si>
    <t>Henry</t>
  </si>
  <si>
    <t>Pablo iglesias de qué va? Si es un fascista y un cínico . Que asco de tener un personaje de esa calaña</t>
  </si>
  <si>
    <t>Mario Gutierrez</t>
  </si>
  <si>
    <t>Pues nada más que decir.. Un médico malagueño vapulea a Pablo Iglesias en una carta abierta: “Busca a los fascistas en las propias sedes de Podemos”</t>
  </si>
  <si>
    <t>Juananttt</t>
  </si>
  <si>
    <t>¿Tú también piensas que las consignas de Pablo Iglesias al "pueblo" de "salir a la calle" a "luchar" pueden terminar así? ¿Tú también ves el paralelismo entre Maduro e Iglesias? RT @OrbitaEduardo: Han visto el Video anterior?. Esos "Colectivos", paramilitares de. N. Maduro, asesinaron de un tiro en la Cabeza a este⬇estudiante opositor en San Bernardino. El"Chepa de PODEMOS, ha demostrado que tiene grupos antisistemas bien organizados, si éste Gobernara España? Que creeis?</t>
  </si>
  <si>
    <t>https://twitter.com/OrbitaEduardo/status/1070714464981397504</t>
  </si>
  <si>
    <t>pic.twitter.com/4tOjyMcykU</t>
  </si>
  <si>
    <t>Iglesias dice que el feminismo es la "mejor vacuna" contra "movimientos reaccionarios", en alusión a Santiago Abascal y Vox: "¿Qué significa que alguien en 2018 se monte en un caballo y vaya con una pistola?"</t>
  </si>
  <si>
    <t>Gaceta de Salamanca</t>
  </si>
  <si>
    <t>💇‍♀ El logo republicano de Pablo Iglesias es en realidad el de una peluquería 👉</t>
  </si>
  <si>
    <t>http://ow.ly/HpM730mTrw3</t>
  </si>
  <si>
    <t>https://pbs.twimg.com/media/DtwmvDUWoAACe_K.jpg</t>
  </si>
  <si>
    <t>Información de Salamanca. Periodismo. Comunicación. Entretenimiento</t>
  </si>
  <si>
    <t>http://www.lagacetadesalamanca.es</t>
  </si>
  <si>
    <t>Quejarse de que Pablo Iglesias lleve escolta cuando es amenazado todos los dias. xd. Teresa, por favor. RT @teresajb47: @Jorlmiga @sterlingmrch @guardiacivil De eso no dice nada, la pidió él pagándola todos los españoles,en lugar de pagarse el seguridad privada, ademas los pueblos cercanos se quejan de que por esto no hay tanta vigilancia en sus pueblos.</t>
  </si>
  <si>
    <t>https://twitter.com/teresajb47/status/1070708421610127365</t>
  </si>
  <si>
    <t>Nunca había visto una rabia tan babosa, como la de Pablo Iglesias el domingo, después de comprobar que el pueblo no hace lo que el quiere "Mesias, no té seguimos, por lo bien que te explicas"</t>
  </si>
  <si>
    <t>Fernando Salas</t>
  </si>
  <si>
    <t>Cuando te convertiste en una marioneta de pablo iglesias? Tu solo, has acabado con IU. Como se echa en falta a gaspar, anguita...@agarzon</t>
  </si>
  <si>
    <t>david garcia</t>
  </si>
  <si>
    <t>vitoria</t>
  </si>
  <si>
    <t>gamer,otaku,ser de ceniza,pokefan y cocinero sexy</t>
  </si>
  <si>
    <t>Mr. Noray</t>
  </si>
  <si>
    <t>Pablo Iglesias es como un poco cutre, no?</t>
  </si>
  <si>
    <t>Fui Ministro. Voluntad, unión y constancia realizan grandes empresas.</t>
  </si>
  <si>
    <t>José Simón 🇪🇸</t>
  </si>
  <si>
    <t>Plagio Sánchez y su vicepresidente de facto, Pablo Iglesias, nos conducen a un cisma social</t>
  </si>
  <si>
    <t>http://wp.me/p76pmQ-rj</t>
  </si>
  <si>
    <t>Esplugues de Llobregat</t>
  </si>
  <si>
    <t>Ciudadano rebelde, amante de la libertad incómoda. Escribo lo que pienso. Si te gustan mis artículos, recomiéndalos.</t>
  </si>
  <si>
    <t>http://www.josesimongracia.es</t>
  </si>
  <si>
    <t>Sr_huevosrotos</t>
  </si>
  <si>
    <t>Me gustó un video de @YouTube  Protestas contra VOX en Andalucía - Pablo Iglesias y Soldado Cebolleta - Coto</t>
  </si>
  <si>
    <t>España Gran Canarias</t>
  </si>
  <si>
    <t>Estoy aquí para nada en concreto pero que le vamos a hacer... PD: Soltero desde 1999</t>
  </si>
  <si>
    <t>Kunta Kinte</t>
  </si>
  <si>
    <t>Pablo Iglesias quiere que el Estado se adapte a su imagen y semejanza.</t>
  </si>
  <si>
    <t>Feudalia</t>
  </si>
  <si>
    <t>Cualquier déspota puede obligar a sus esclavos a cantar himnos a la libertad.</t>
  </si>
  <si>
    <t>Tariskov</t>
  </si>
  <si>
    <t>Losantos Vs Pablo Iglesias:</t>
  </si>
  <si>
    <t>https://www.youtube.com/watch?v=ocCsgeKbUvI</t>
  </si>
  <si>
    <t>JCHAGS</t>
  </si>
  <si>
    <t>Seguro que don Pablo Iglesias estuvo en la revolución rusa. Es un crack.</t>
  </si>
  <si>
    <t>https://pbs.twimg.com/media/DtwkoF5WoAAmiWd.jpg</t>
  </si>
  <si>
    <t>Orgulloso de ser extremeño, de los personajes del Miajón de los Castúos, y de los que prefieren morir de pie que vivir arrodillados.</t>
  </si>
  <si>
    <t>Gabriel Ferrer</t>
  </si>
  <si>
    <t>Los foros de la militancia de Podemos arden contra Iglesias: “Pablo, cállate y haz autocrítica”  vía @okdiario</t>
  </si>
  <si>
    <t>Custodia Compartida, Igualdad Real. Por el cumplimiento efectivo del artículo 14 de la Constitución</t>
  </si>
  <si>
    <t>Los energúmenos violentos encapuchados, estos "antifascistas " , son los buenos, los que nos van a salvar, según Pablo Iglesias &amp; Co: vamos, el mundo al revés.</t>
  </si>
  <si>
    <t>Αλεχ 🇪🇸🐍</t>
  </si>
  <si>
    <t>El maravilloso @Slaanesh_Adria analizando comentarios pro belicos y totalitarios de Pablo Iglesias y finalizando en comparativa con Largo Caballero, lider del PSOE en el 36 y promotor de la Guerra Civil.</t>
  </si>
  <si>
    <t>Logroño-Valladolid, España</t>
  </si>
  <si>
    <t>Estudiante en la Uva . Maquinaria y San Juanero desde la 103. Riojano y español. #LET</t>
  </si>
  <si>
    <t>¿Y no es esto lo que hace Pablo Iglesias? El delito de odio</t>
  </si>
  <si>
    <t>https://www.mundojuridico.info/el-delito-de-odio/</t>
  </si>
  <si>
    <t>Esto es lo que provoca estro amigo Pablo iglesias</t>
  </si>
  <si>
    <t>pic.twitter.com/WRTvZoe80Y</t>
  </si>
  <si>
    <t>🇪🇸 Isabel 🇪🇸</t>
  </si>
  <si>
    <t>Suicidio político de Pablo Iglesias al comprar el chalet, ¿ORDEN de sus CONTROLES para AUTODESTRUIR Podemos?</t>
  </si>
  <si>
    <t>https://tecnicopreocupado.com/2018/05/20/suicidio-politico-de-pablo-iglesias-al-comprar-el-chalet-orden-de-sus-controles-para-autodestruir-podemos/</t>
  </si>
  <si>
    <t>"Ninguna sociedad prosperó por tener una clase grande y creciente de parásitos que vivían de aquellos que producían." Thomas Sowell</t>
  </si>
  <si>
    <t>Y mientras TODOS preocupados por la casa de Pablo Iglesias o si Manuela pone o no el Belén mira que somos 🐏🐏🐏🐏🐏 RT @CatalunyaFreeTV: "Mi desahucio va ha acabar de la peor manera... Mi SUICIDIO" #stopdesahucios</t>
  </si>
  <si>
    <t>https://twitter.com/CatalunyaFreeTV/status/1070617685271175169</t>
  </si>
  <si>
    <t>pic.twitter.com/GSumv6ABYy</t>
  </si>
  <si>
    <t>Finna Ruiz</t>
  </si>
  <si>
    <t>Hola 🌎 Nací en un siglo y vivo en otro.</t>
  </si>
  <si>
    <t>Una vez más, Íñigo Errejón decide ir por libre y alejarse de la estrategia de Pablo Iglesias. E...</t>
  </si>
  <si>
    <t>http://copiajuridica.es/2018/12/06/errejon-se-revuelve-contra-iglesias-y-ningunea-su-alerta-antifascista</t>
  </si>
  <si>
    <t>carlos yáñez fdez</t>
  </si>
  <si>
    <t>Lo decepcionante es su negro futuro politico, ya que su presente es penoso. Pablo Iglesias: “El discurso del Rey ha sido decepcionante”  vía @elpais_espana</t>
  </si>
  <si>
    <t>Newcastle-under-Lyme, England</t>
  </si>
  <si>
    <t>Exiliado económico, buscando fuera lo que se niega en España. Respondo por lo que digo, no por lo que tu entiendas.</t>
  </si>
  <si>
    <t>Lo extraño es que su líder, Pablo Iglesias, no es asiduo a las peluquerías. Esperamos que a partir de ahora se reconcilie con el peine y el acondicionador; su incorporación a la alta nobleza de Galapagar bien lo merece.</t>
  </si>
  <si>
    <t>https://okdiario.com/espana/2018/12/06/podemos-usa-como-logo-republica-imagen-disenada-peluquerias-3436295?utm_campaign=ok&amp;utm_medium=Social&amp;utm_source=Facebook#Echobox=1544119772</t>
  </si>
  <si>
    <t>Shepar</t>
  </si>
  <si>
    <t>Que dice Pablo Iglesias,POLÍTICO,que la gente asocia monarquia a corrupción,si,lo dice un POLÍTICO español.</t>
  </si>
  <si>
    <t>en mi casa</t>
  </si>
  <si>
    <t>Valenciano pero primero español. 🇪🇸❤️🇪🇸</t>
  </si>
  <si>
    <t>chuslefg</t>
  </si>
  <si>
    <t>Amigo @JuanraLucas ¿Este visionario Pablo Iglesias dónde verá esas mayorías? RT @JuanraLucas: Dice @Pablo_Iglesias_ que la mayoría de los españoles estamos por la República. Si...se ve muy bien en los resultados de las andaluzas y en la configuración de Parlamento donde, como se sabe, tienen los republicanos mayoría. Inténtelo de nuevo, a ver si hay suerte.</t>
  </si>
  <si>
    <t>https://twitter.com/juanralucas/status/1070681798819151872</t>
  </si>
  <si>
    <t>En el Mundo</t>
  </si>
  <si>
    <t>Tecnologías de la Información</t>
  </si>
  <si>
    <t>PODEMOS Los foros de la militancia de Podemos arden contra Iglesias: “Pablo, cállate y haz autocrítica” La fiscalía debería intervenir contra este extremista de izquierda y ponerle donde debió estar en 2014 junto a otros de su calaña en prision</t>
  </si>
  <si>
    <t>Si no te gusta lo que digo no me sigas ; estoy en contra del comunismo y el comunismo radical populista (ojo no soy de ningún partido)</t>
  </si>
  <si>
    <t>Hay que recordar que muchos etarras tenían el teléfono de Pablo Iglesias. RT @hermanntertsch: Mientras los Abascal recibían cartas como esta, otros se dedicaban a las loas a ETA y al FRAP, ayudaban todo lo que pudieran a las estructuras etarras y hoy corean los llamamientos a la violencia de los comunistas de Podemos.</t>
  </si>
  <si>
    <t>Moin Mandarina</t>
  </si>
  <si>
    <t>Y una mierda para tu coleta. - Mi madre a Pablo Iglesias, 2018.</t>
  </si>
  <si>
    <t>Somewhere in Europe</t>
  </si>
  <si>
    <t>I'm tired of looking for my labels 🌈🌱🌍 Looking for long-standing temporary happiness.</t>
  </si>
  <si>
    <t>Han llamado ya a declarar por estos actos a Pablo Iglesias? A que esperan los jueces del Supremo? RT @DaniPintoB: Violencia y quema de contenedores por los podemitas y progolpistas que han intentado boicotear el acto de @VoxTerrassa. ¡Qué buenos son los socios del PSOE en el Gobierno y que malos los de VOX!</t>
  </si>
  <si>
    <t>https://twitter.com/DaniPintoB/status/1070765958401277954</t>
  </si>
  <si>
    <t>pic.twitter.com/AxLhqhl8Ng</t>
  </si>
  <si>
    <t>Perseo</t>
  </si>
  <si>
    <t>Pablo Iglesias con su PODEMOS y junto a los nacionalistas, irrumpieron en ESPAÑA cual elefante en una cacharreria, pero claro, no se esperaban que hubiera cazadores dispuestos dentro y claro, pasa lo que pasa. Al elefante le está cayendo la del pulpo.</t>
  </si>
  <si>
    <t>A. Navarro</t>
  </si>
  <si>
    <t>Pablo Iglesias: "Lo mejor de España son los españoles y las españolas". Menos el hijo de la grandísima puta que te ha dicho que te pusieras ese abrigo.</t>
  </si>
  <si>
    <t>https://pbs.twimg.com/media/Dtwf7uhX4AAzIVv.jpg</t>
  </si>
  <si>
    <t>Madrid│Teruel</t>
  </si>
  <si>
    <t>Discípulo de Dennis Rodman pero con técnica Jugoplastika | Abogado│Alumni de @derecho_unav y de @IElaw (LL.M.) | John Ford│Capote - Salinger - Hornby - Bayly</t>
  </si>
  <si>
    <t>Pablo Iglesias y el resto de podemitas, es decir, los socios de @sanchezcastejon y el @PSOE fueron los únicos que no aplaudieron tras sonar el himno español en el Congreso, ese es el respeto que tienen a este país #40AñosDeConstitución #DíaDeLaConstitución</t>
  </si>
  <si>
    <t>pic.twitter.com/6zKUDzYFRA</t>
  </si>
  <si>
    <t>Raki</t>
  </si>
  <si>
    <t>Vergüenza. Y el Pablo Iglesias lanzando en el resto de España a la gente a las calles. Se merece que lo encierren por agitador a la violencia. RT @arturelpayaso2: Radicales independentistas, los amigos de Quim Torra y Puigdemont, agreden salvajemente a Álvaro de Marichalar, quien tuvo que huir para no ser linchado. Cataluña está en guerra, y quien no lo vea, que se lo haga mirar.</t>
  </si>
  <si>
    <t>Bien vamos bien.</t>
  </si>
  <si>
    <t>Príncipe Eusico</t>
  </si>
  <si>
    <t>Lucha por lo que quieras, muere por lo que tengas // Técnico (Subinspector) de Hacienda y Licenciado en Economía al que le gusta hablar de Derecho.</t>
  </si>
  <si>
    <t>A este comunista de Pablo iglesias dice estoy orgulloso como si fuera el Jefe de estado está orgulloso de los que. No votaron. VOX pero sera gilipollas de que va este manporrero de Pablo iglesias en el manicomio los hay más cuerdos lo que hay que oír</t>
  </si>
  <si>
    <t>Sr. Sawa</t>
  </si>
  <si>
    <t>Cómo se ve Pablo Iglesias; cómo le empiezan a ver los votantes. Dramatización.</t>
  </si>
  <si>
    <t>https://pbs.twimg.com/media/DtwdzT8XgAIru9s.jpg</t>
  </si>
  <si>
    <t>Experto en Matemáticas Celestes</t>
  </si>
  <si>
    <t>https://youtu.be/DMwJVoF9kos</t>
  </si>
  <si>
    <t>El que también se fue del barrio fue Pablo Iglesias... RT @ierrejon: La gente tiene ya bastantes problemas en su vida cotidiana: poder pagar las facturas a final de mes, que te suban el alquiler y te tengas que ir de tu barrio... Quienes estamos en política tenemos que trabajar para resolverselos, no para añadirles más.</t>
  </si>
  <si>
    <t>https://twitter.com/ierrejon/status/1070662576810405888</t>
  </si>
  <si>
    <t>pic.twitter.com/tbDcRmJQHD</t>
  </si>
  <si>
    <t>MANUEL GARCIA</t>
  </si>
  <si>
    <t>Gorky17 Gamer</t>
  </si>
  <si>
    <t>Algún lugar del universo</t>
  </si>
  <si>
    <t>Me gusta las consolas y disfruto de una gran variedad de generos de juegos.</t>
  </si>
  <si>
    <t>silvana</t>
  </si>
  <si>
    <t>Fabulous Max</t>
  </si>
  <si>
    <t>Me parece muy bien que en el símbolo republicano de Podemos aparezca Pablo Iglesias con el pelo suelto.</t>
  </si>
  <si>
    <t>https://pbs.twimg.com/media/DtwdC00W4AIpQmy.jpg</t>
  </si>
  <si>
    <t>(Bio cerrada por reforma)</t>
  </si>
  <si>
    <t>Carlos 🇪🇸</t>
  </si>
  <si>
    <t>La llamada del coleta-cheposo Pablo Iglesias a la violencia en las calles ha tenido efecto, va a pasar algo grave con total seguridad, ambiente similar al del 36. Alguien va a llorar.... espero que sean ellos.</t>
  </si>
  <si>
    <t>Valle de Olid</t>
  </si>
  <si>
    <t>A orillas del Pisuerga,soy Pucelano sino pagaría por serlo.Devoto de Morante,Cobradiezmos y Sofia Loren; me encuentras por algún Bar de Valladolid.</t>
  </si>
  <si>
    <t>jose miguel</t>
  </si>
  <si>
    <t>RUBEN ODY</t>
  </si>
  <si>
    <t>A Coruña, España</t>
  </si>
  <si>
    <t>😇 Ru &amp; bén Gar -cía Cast I ñeiras 🤑</t>
  </si>
  <si>
    <t>20minutos.es</t>
  </si>
  <si>
    <t>Iglesias, "decepcionado" con el rey por no hablar de corrupción en su discurso</t>
  </si>
  <si>
    <t>http://ver.20m.es/lobqw3</t>
  </si>
  <si>
    <t>Cuenta oficial de 20minutos, el medio social y ciudadano. Información, análisis y contacto personal con los lectores las 24 horas del día http://facebook.com/20minutos.es</t>
  </si>
  <si>
    <t>https://www.20minutos.es/</t>
  </si>
  <si>
    <t>pep alava</t>
  </si>
  <si>
    <t>Vitoria-Alava-Pais Vasco-Spain</t>
  </si>
  <si>
    <t>Tato Cervera</t>
  </si>
  <si>
    <t>Alberto Garzón es pura demagogia y populismo. El político que entregó Izquierda Unida a Pablo Iglesias provocando una pérdida considerable de apoyos entre sus simpatizantes. La izquierda extrema sigue ahogada en el radicalismo y la falta de propuestas sensatas para el país.</t>
  </si>
  <si>
    <t>👨‍💼 Philip Morris Spain S.L. - IQOS Expert 🤾‍♂️🔥 Balonmanista y fallero a tiempo parcial. 💻 Marketing Digital y RRPP</t>
  </si>
  <si>
    <t>https://es.iqos.com</t>
  </si>
  <si>
    <t>Sheldon</t>
  </si>
  <si>
    <t>Pablo Iglesias: "La monarquía es una institución asociada a la corrupción y a los privilegios". Por eso está gobernando con los partidos de los ERES y del 3%. Por eso vive en un casoplón de 1,2 mill de euros. Porque no le gusta ni la corrupción, ni los privilegios</t>
  </si>
  <si>
    <t>Leandro Yon Pol Moon</t>
  </si>
  <si>
    <t>Córdoba, Argentina</t>
  </si>
  <si>
    <t>Soledad Almería</t>
  </si>
  <si>
    <t>https://okdiario.com/espana/2018/12/05/ciudadano-cake-toma-vox-antiguo-barrio-pablo-iglesias-3430388/amp</t>
  </si>
  <si>
    <t>Vicente Jiménez VOX</t>
  </si>
  <si>
    <t>Repito: Podemos y golpistas son anti monárquicos, lógico. Además, ¿os imagináis a Pablo Iglesias controlando al ejército? Eso es lo que él quiere: "lo que no se consigue en las urnas se consigue con las armas" Lenin</t>
  </si>
  <si>
    <t>ESPAÑA - Barcelona -</t>
  </si>
  <si>
    <t>El Parnasillo era el garito descrito por Galdós donde tenían lugar las tertulias políticas y literarias de los liberales. Sin respeto bloqueo automáticamente.</t>
  </si>
  <si>
    <t>http://elparnasillo.blogspot.com.es/</t>
  </si>
  <si>
    <t>Otra Vuelta de Tuerka - Pablo Iglesias con Luis María Ansón  vía @YouTube</t>
  </si>
  <si>
    <t>Vallekas City      ciudad sin Rey</t>
  </si>
  <si>
    <t>Ateo,socialista ( pero no del PSOE) aprendiz d todo oficial de nada, toda la vida luchando por los derechos, con el mismo master q Cifuentes y posgrado jar bar</t>
  </si>
  <si>
    <t>Piur 🏁</t>
  </si>
  <si>
    <t>Pablo Iglesias: «No hemos aplaudido el discurso del rey porque [mi mente deja de escuchar y piensa: «¡PEÍNATE, COÑO!»].</t>
  </si>
  <si>
    <t>Quelifornia</t>
  </si>
  <si>
    <t>Textuitera.</t>
  </si>
  <si>
    <t>manucha</t>
  </si>
  <si>
    <t>CADENA PERPETUA NO REVISABLE, TAMBIÉN PAL MUÑECO DIABÓLICO QUE ESTÁ DETRÁS.</t>
  </si>
  <si>
    <t>¿Quién es Iglesias para hablar en nombre de la "mayor parte de la ciudadanía"? Los que...</t>
  </si>
  <si>
    <t>Ole Ole</t>
  </si>
  <si>
    <t>De verdad? Eso sería cojonuuuuudo!! los cabecillas de delincuentes deben ser los primeros en pagar y en este caso Pablo Iglesias y sus secuaces por alentar a la insurrección y al levantamiento contra el orden constituido RT @BenemeritosGC: Piden la detención de Pablo Iglesias por ser el promotor de las violentas manifestaciones contra VOX en Andalucía</t>
  </si>
  <si>
    <t>mi único interés, es la defensa de España y los españoles, todos.</t>
  </si>
  <si>
    <t>miliciano</t>
  </si>
  <si>
    <t>Ateo ,Rojo, Republicano y con alergia a la Monarquia.</t>
  </si>
  <si>
    <t>🇪🇸CamelMan🇪🇸</t>
  </si>
  <si>
    <t>#ConstituciónEspañola Los padres (y madres) de la próxima república: Pablo Iglesias, Otegui, Rufián, Garzón, Torra, Carmena, Puigdemont y Gallifantes... Para echar a correr....</t>
  </si>
  <si>
    <t>Juan luis</t>
  </si>
  <si>
    <t>I liked a @YouTube video  🔥BRUTAL🔥 EDUARDO INDA responde a PABLO IGLESIAS "Es un CAVERNÍCOLA y un</t>
  </si>
  <si>
    <t>http://youtu.be/yc04ztdwTNo?a</t>
  </si>
  <si>
    <t>Cuenca</t>
  </si>
  <si>
    <t>La SS de Pablo Iglesias nos están golpeando , persiguiendo y haciendo pintadas en nuestros negocios. Vuelve la noche de los cristales rotos. Vox España resistirá. Porque somos de extrema necesidad.</t>
  </si>
  <si>
    <t>https://www.youtube.com/channel/UCICHqWY-pNCfFyIRxSmcCzA</t>
  </si>
  <si>
    <t>Pablo Iglesias quiere robarte tus ahorros. Pablo quiere que tú y tus hijos paséis hambre para aparecer con 200 euros y decir que te ha dado de comer. Pablo vive en una mansión fabulosa de la sierra de Madrid que has pagado tú. @ahorapodemos @NicolasMaduro @lopezobrador_</t>
  </si>
  <si>
    <t>https://okdiario.com/espana/2018/12/06/pablo-iglesias-reivindica-republica-como-solucion-problemas-espana-3435080#.XAl2PZFbABQ.twitter</t>
  </si>
  <si>
    <t>JCHF</t>
  </si>
  <si>
    <t>Piden la detención de Pablo Iglesias por ser el promotor de las violentas manifestaciones contra VOX en Andalucía..., no hay q estudiar demasiado..., Para describir el momentazo vivido el pasado Domingo 02.12.18 en el #hotelayredesevilla 👍👌💪✌</t>
  </si>
  <si>
    <t>No pelea el Número sino el Ánimo, No Vencen los Muchos sino los VALIENTES</t>
  </si>
  <si>
    <t>Rivera, personaje de ficción lleno de mentiras, muy falso. Lo de este farsante supera todo lo imaginable. Rivera representa las dudosas virtudes del político que se encomienda a Dios y al diablo al mismo tiempo Rivera y Pablo Iglesias persiguen lo mismo (PODER)al precio que sea</t>
  </si>
  <si>
    <t>https://pbs.twimg.com/media/DtwZnPxXcAASiYK.jpg</t>
  </si>
  <si>
    <t>#2018EnResumen: el chalé que te cagas de Pablo Iglesias e Irene Montero.</t>
  </si>
  <si>
    <t>Ignacio Pozo</t>
  </si>
  <si>
    <t>Garzón y Pablo Iglesias asisten al #40AniversarioConstitucion con un pin en sus chaquetas pro-república, plagiado el símbolo a una multinacional de salones de belleza femeninos, seguramente registrado. Falsetes hasta para esto.</t>
  </si>
  <si>
    <t>https://pbs.twimg.com/media/DtwZVUxWoAI9aux.jpg</t>
  </si>
  <si>
    <t>CEO @ipozoasesores. Rt o ❤️ no es compartir opinión. Quod natura non dat, Salmantica non praestat.</t>
  </si>
  <si>
    <t>http://ignaciopozo.com</t>
  </si>
  <si>
    <t>Ancín</t>
  </si>
  <si>
    <t>Pablo Iglesias negándose a saludar al rey no demuestra tener convicciones, solo mala educación.</t>
  </si>
  <si>
    <t>https://youtu.be/thuEk8afDjc</t>
  </si>
  <si>
    <t>Resto del mundo</t>
  </si>
  <si>
    <t>Vaya a vender sus neuras a otra parte, aquí estamos servidos.</t>
  </si>
  <si>
    <t>http://navarra.elespanol.com/opinion/autor/002529/javier-ancin</t>
  </si>
  <si>
    <t>Manuel Torrente</t>
  </si>
  <si>
    <t>Godokoro</t>
  </si>
  <si>
    <t>Si @Santi_ABASCAL responsabiliza a Pablo Iglesias, yo responsabilizo a Santiago de cada futura agresión fascisa a inmigrantes, mujeres o a miembros de colectivos atacados en sus manifestaciones.</t>
  </si>
  <si>
    <t>pressdigital</t>
  </si>
  <si>
    <t>Pablo Iglesias dice que el feminismo es la "mejor vacuna" contra "movimientos reaccionarios", en alusión a Vox</t>
  </si>
  <si>
    <t>https://ift.tt/2zMNRHA</t>
  </si>
  <si>
    <t>Diario digital plural e independiente donde puedes informarte y participar. Síguenos en Facebook: https://www.facebook.com/pressdigitalteinforma</t>
  </si>
  <si>
    <t>http://www.pressdigital.es/</t>
  </si>
  <si>
    <t>Libertad y Lo Que Surja</t>
  </si>
  <si>
    <t>Protestas contra VOX en Andalucía - Pablo Iglesias y Soldado Cebolleta - Coto de Caza Progre 37</t>
  </si>
  <si>
    <t>Barcelona, Tabarnia</t>
  </si>
  <si>
    <t>Admin de ''Libertad y lo que surja''. Embajador de Tabarnia en Sant Esteve de les Roures. Físico/informático. Libertario/ancap. - Vive y deja vivir.</t>
  </si>
  <si>
    <t>https://www.youtube.com/channel/UCATNLtVD9iXXzOmFc4bZ87A/featured</t>
  </si>
  <si>
    <t>cherichefff</t>
  </si>
  <si>
    <t>El comunismo es la gran ficción por lo que unos pocos tratan de vivir a costa de todos los demás. DIGITAL RESISTANCE</t>
  </si>
  <si>
    <t>Laura Cruz</t>
  </si>
  <si>
    <t>Pablo Iglesias, ¿game over?</t>
  </si>
  <si>
    <t>Journalist &amp; Image technician. Solía ser corresponsal desde Alemania. Colaboraciones en @GIMadrid @elSaltoDiario @ElEconomistaes y más. Ex @centrodramatico</t>
  </si>
  <si>
    <t>http://eleconomista.es/autor/Laura-Cruz-Berlin</t>
  </si>
  <si>
    <t>DONNA...</t>
  </si>
  <si>
    <t>Igusl que el signore Petro de #Colombia. #Carcel para este par de incendiarios. Piden la detención de Pablo Iglesias por ser el promotor de las violentas manifestaciones contra VOX en Andalucía •…</t>
  </si>
  <si>
    <t>en todas partes</t>
  </si>
  <si>
    <t>Del lado correcto de la historia. A la diestra de las buenas costumbres.</t>
  </si>
  <si>
    <t>http://www.colombiaquiere.com</t>
  </si>
  <si>
    <t>Radio Unión Tenerife</t>
  </si>
  <si>
    <t>Pablo Iglesias critica el discurso "decepcionante" del Rey y la ovación "sobreactuada" a Juan Carlos I</t>
  </si>
  <si>
    <t>Fanjul Segundo</t>
  </si>
  <si>
    <t>La carta viral de un andaluz a Iglesias: "Cuando usted predica pobreza pero se compra un chalé, nace un fascista" Y yo digo. A estos de Unidos Podemos ni un voto son otra Venezuela dictadura y miseria. Ver más en:  ! VIVA ESPAÑA¡¡¡¡</t>
  </si>
  <si>
    <t>https://www.20minutos.es/noticia/3508831/0/carta-viral-abierta-andaluz-medico-pablo-iglesias-cuando-usted-predica-pobreza-pero-compra-chale-nace-fascista-elecciones-andalucia-2018-podemos-vox/#xtor=AD-15&amp;xts=467263</t>
  </si>
  <si>
    <t>https://pbs.twimg.com/media/DtwXSm-WsAAFLmt.jpg</t>
  </si>
  <si>
    <t>Asturiano, Pintor artistico de cuadros al oleo</t>
  </si>
  <si>
    <t>Rogerdaflor</t>
  </si>
  <si>
    <t>Uno de los desafíos: ilegalizar los partidos independentistas y agitadores violentos. Pablo Iglesias reivindica la República como solución a los problemas de España</t>
  </si>
  <si>
    <t>https://okdiario.com/espana/2018/12/06/pablo-iglesias-reivindica-republica-como-solucion-problemas-espana-3435080/amp</t>
  </si>
  <si>
    <t>Buscador de la Verdad. No me interesa el mundo más que como un medio para viajar hacia ella.</t>
  </si>
  <si>
    <t>Sanse Danza</t>
  </si>
  <si>
    <t>Tarantos de Belen Escobosa y Silvia Aguado, en la gala de la Constitución en Centro cultural Pablo Iglesias</t>
  </si>
  <si>
    <t>https://www.instagram.com/p/BrDpVMpnCPD/?utm_source=ig_twitter_share&amp;igshid=6bxzrl3ydz3o</t>
  </si>
  <si>
    <t>Escuela de Baile</t>
  </si>
  <si>
    <t>http://www.sansedanza.es</t>
  </si>
  <si>
    <t>http://www.diarioalcazar.com/2018/12/pablo-iglesias-podria-ser-juzgado-por.html#.XAly5CZOij9.twitter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</si>
</sst>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0">
    <font>
      <sz val="10"/>
      <color rgb="FF000000"/>
      <name val="Arial"/>
    </font>
    <font>
      <sz val="9"/>
      <color rgb="FFFFFFFF"/>
      <name val="Droid Sans"/>
    </font>
    <font>
      <sz val="8"/>
      <color rgb="FFFFFFFF"/>
      <name val="Droid Sans"/>
    </font>
    <font>
      <sz val="8"/>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s>
  <fills count="5">
    <fill>
      <patternFill patternType="none"/>
    </fill>
    <fill>
      <patternFill patternType="gray125"/>
    </fill>
    <fill>
      <patternFill patternType="solid">
        <fgColor rgb="FF1155CC"/>
        <bgColor rgb="FF1155CC"/>
      </patternFill>
    </fill>
    <fill>
      <patternFill patternType="solid">
        <fgColor rgb="FF3C78D8"/>
        <bgColor rgb="FF3C78D8"/>
      </patternFill>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3">
    <xf numFmtId="0" fontId="0" fillId="0" borderId="0" xfId="0" applyFont="1" applyAlignment="1"/>
    <xf numFmtId="164"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14" fontId="3" fillId="0" borderId="0" xfId="0" applyNumberFormat="1" applyFont="1" applyAlignment="1">
      <alignment horizontal="center" vertical="center"/>
    </xf>
    <xf numFmtId="0" fontId="4"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5" fillId="0" borderId="0" xfId="0" applyFont="1" applyAlignment="1">
      <alignment horizontal="center" vertical="center"/>
    </xf>
    <xf numFmtId="0" fontId="3" fillId="0" borderId="0" xfId="0" applyFont="1" applyAlignment="1">
      <alignment horizontal="left" vertical="center"/>
    </xf>
    <xf numFmtId="0" fontId="6" fillId="0" borderId="0" xfId="0" applyFont="1" applyAlignment="1">
      <alignment horizontal="left" vertical="center"/>
    </xf>
    <xf numFmtId="0" fontId="3" fillId="0" borderId="0" xfId="0" applyFont="1" applyAlignment="1">
      <alignment horizontal="center" vertical="center"/>
    </xf>
    <xf numFmtId="0" fontId="7"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vertical="center"/>
    </xf>
    <xf numFmtId="0" fontId="3" fillId="0" borderId="0" xfId="0" quotePrefix="1" applyFont="1" applyAlignment="1">
      <alignment vertical="center" wrapText="1"/>
    </xf>
    <xf numFmtId="0" fontId="8" fillId="0" borderId="0" xfId="0" applyFont="1" applyAlignment="1">
      <alignment vertical="center"/>
    </xf>
    <xf numFmtId="0" fontId="3" fillId="0" borderId="0" xfId="0" quotePrefix="1" applyFont="1" applyAlignment="1">
      <alignment horizontal="left" vertical="center" wrapText="1"/>
    </xf>
    <xf numFmtId="14" fontId="3" fillId="0" borderId="0" xfId="0" applyNumberFormat="1" applyFont="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164" fontId="3" fillId="0" borderId="0" xfId="0" applyNumberFormat="1" applyFont="1" applyAlignment="1">
      <alignment horizontal="center" vertical="center"/>
    </xf>
    <xf numFmtId="0" fontId="9" fillId="0" borderId="0" xfId="0" applyFont="1" applyAlignment="1">
      <alignment horizontal="left" vertical="center" wrapText="1"/>
    </xf>
    <xf numFmtId="0" fontId="3" fillId="0" borderId="0" xfId="0" applyFont="1" applyAlignment="1">
      <alignment horizontal="left" vertical="center"/>
    </xf>
    <xf numFmtId="0" fontId="1" fillId="2" borderId="0" xfId="0" applyFont="1" applyFill="1" applyAlignment="1">
      <alignment horizontal="center" vertical="center"/>
    </xf>
    <xf numFmtId="0" fontId="0" fillId="0" borderId="0" xfId="0" applyFont="1" applyAlignment="1"/>
    <xf numFmtId="0" fontId="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rr.ss/" TargetMode="External"/><Relationship Id="rId1827" Type="http://schemas.openxmlformats.org/officeDocument/2006/relationships/hyperlink" Target="https://www.elindependiente.com/economia/2018/12/07/escandalo-en-justicia-opositores-acusan-a-gobierno-y-sindicatos-de-regalar-plazas-a-interinos/" TargetMode="External"/><Relationship Id="rId21" Type="http://schemas.openxmlformats.org/officeDocument/2006/relationships/hyperlink" Target="http://ww.cope.es/8bbhz2" TargetMode="External"/><Relationship Id="rId2089" Type="http://schemas.openxmlformats.org/officeDocument/2006/relationships/hyperlink" Target="https://twitter.com/ahorapodemos/status/1070633150353760256" TargetMode="External"/><Relationship Id="rId170" Type="http://schemas.openxmlformats.org/officeDocument/2006/relationships/hyperlink" Target="https://pbs.twimg.com/media/Dt5LS0IXgAARaqF.jpg" TargetMode="External"/><Relationship Id="rId2296" Type="http://schemas.openxmlformats.org/officeDocument/2006/relationships/hyperlink" Target="https://twitter.com/angelcostalero/status/1070683521218461697" TargetMode="External"/><Relationship Id="rId268" Type="http://schemas.openxmlformats.org/officeDocument/2006/relationships/hyperlink" Target="http://ssantacamas.wordpress.com/" TargetMode="External"/><Relationship Id="rId475" Type="http://schemas.openxmlformats.org/officeDocument/2006/relationships/hyperlink" Target="https://twitter.com/okdiario/status/1071132239906299905" TargetMode="External"/><Relationship Id="rId682" Type="http://schemas.openxmlformats.org/officeDocument/2006/relationships/hyperlink" Target="https://www.facebook.com/profile.php?id=100011075051553" TargetMode="External"/><Relationship Id="rId2156" Type="http://schemas.openxmlformats.org/officeDocument/2006/relationships/hyperlink" Target="https://www.elmundo.es/espana/2018/12/06/5c096dbbfdddff405d8b4765.html" TargetMode="External"/><Relationship Id="rId2363" Type="http://schemas.openxmlformats.org/officeDocument/2006/relationships/hyperlink" Target="http://chng.it/PGBG8dhq" TargetMode="External"/><Relationship Id="rId2570" Type="http://schemas.openxmlformats.org/officeDocument/2006/relationships/hyperlink" Target="http://www.sansedanza.es/" TargetMode="External"/><Relationship Id="rId128" Type="http://schemas.openxmlformats.org/officeDocument/2006/relationships/hyperlink" Target="http://www.podemospabloiglesias.com/?page=votante-carta-avalcal&amp;type=actualidad" TargetMode="External"/><Relationship Id="rId335" Type="http://schemas.openxmlformats.org/officeDocument/2006/relationships/hyperlink" Target="https://www.eldiestro.es/2018/12/fran-rivera-lanza-un-merecido-mensaje-al-golfo-de-pablo-iglesias/" TargetMode="External"/><Relationship Id="rId542" Type="http://schemas.openxmlformats.org/officeDocument/2006/relationships/hyperlink" Target="https://blogs.publico.es/dominiopublico/27340/carta-al-tipo-que-mando-una-carta-a-pablo-iglesias/" TargetMode="External"/><Relationship Id="rId987" Type="http://schemas.openxmlformats.org/officeDocument/2006/relationships/hyperlink" Target="http://chng.it/rSktDHZk" TargetMode="External"/><Relationship Id="rId1172" Type="http://schemas.openxmlformats.org/officeDocument/2006/relationships/hyperlink" Target="https://youtu.be/2Pz0zlXr1sQ" TargetMode="External"/><Relationship Id="rId2016" Type="http://schemas.openxmlformats.org/officeDocument/2006/relationships/hyperlink" Target="https://pbs.twimg.com/media/Dtxury9W4AUMLq4.jpg" TargetMode="External"/><Relationship Id="rId2223" Type="http://schemas.openxmlformats.org/officeDocument/2006/relationships/hyperlink" Target="http://lailustrecalavera.blogspot.com.es/" TargetMode="External"/><Relationship Id="rId2430" Type="http://schemas.openxmlformats.org/officeDocument/2006/relationships/hyperlink" Target="http://www.eldiario.es/" TargetMode="External"/><Relationship Id="rId402" Type="http://schemas.openxmlformats.org/officeDocument/2006/relationships/hyperlink" Target="https://twitter.com/Carola2hope/status/1071127505627541504" TargetMode="External"/><Relationship Id="rId847" Type="http://schemas.openxmlformats.org/officeDocument/2006/relationships/hyperlink" Target="https://www.huffingtonpost.es/2018/12/07/el-dardo-de-bertin-osborne-a-gabriel-rufian-y-pablo-iglesias-espana-es-el-pais-con-mas-politicos-idiotas-por-metro-cuadrado_a_23611885/?ncid=other_twitter_cooo9wqtham&amp;utm_campaign=share_twitter" TargetMode="External"/><Relationship Id="rId1032" Type="http://schemas.openxmlformats.org/officeDocument/2006/relationships/hyperlink" Target="https://www.elmatinal.com/actualidad/piden-la-detencion-de-pablo-iglesias-por-ser-el-promotor-de-las-violentas-manifestaciones-contra-vox-en-andalucia/" TargetMode="External"/><Relationship Id="rId1477" Type="http://schemas.openxmlformats.org/officeDocument/2006/relationships/hyperlink" Target="http://youtu.be/Msk5PBxuCgE?a" TargetMode="External"/><Relationship Id="rId1684" Type="http://schemas.openxmlformats.org/officeDocument/2006/relationships/hyperlink" Target="https://pbs.twimg.com/media/Dtuq4NyWwAA4MTs.jpg" TargetMode="External"/><Relationship Id="rId1891" Type="http://schemas.openxmlformats.org/officeDocument/2006/relationships/hyperlink" Target="http://pic.twitter.com/8Gz2csDlP6" TargetMode="External"/><Relationship Id="rId2528" Type="http://schemas.openxmlformats.org/officeDocument/2006/relationships/hyperlink" Target="http://pic.twitter.com/UrP2rzKx7y" TargetMode="External"/><Relationship Id="rId707" Type="http://schemas.openxmlformats.org/officeDocument/2006/relationships/hyperlink" Target="http://atres.red/qnnvr3" TargetMode="External"/><Relationship Id="rId914" Type="http://schemas.openxmlformats.org/officeDocument/2006/relationships/hyperlink" Target="https://youtu.be/nUnkRJZLX2E" TargetMode="External"/><Relationship Id="rId1337" Type="http://schemas.openxmlformats.org/officeDocument/2006/relationships/hyperlink" Target="https://twitter.com/Mayka41328150/status/1070758364370608128" TargetMode="External"/><Relationship Id="rId1544" Type="http://schemas.openxmlformats.org/officeDocument/2006/relationships/hyperlink" Target="https://www.esdiario.com/781025410/Pablo-Iglesias-se-desespera-al-quedarse-solo-en-su-caceria-al-Rey-Juan-Carlos.html?utm_source=boletin&amp;utm_medium=mail&amp;utm_campaign=boletin&amp;origin=newsletter&amp;id=19&amp;tipo=3&amp;identificador=781025410&amp;id_boletin=613406069&amp;cod_suscriptor=256000484" TargetMode="External"/><Relationship Id="rId1751" Type="http://schemas.openxmlformats.org/officeDocument/2006/relationships/hyperlink" Target="https://www.elconfidencial.com/espana/2018-12-06/aniversario-constitucion-pablo-iglesias-podemos-rey-juan-carlos_1690826/?utm_source=twitter&amp;utm_medium=social&amp;utm_campaign=BotoneraWeb" TargetMode="External"/><Relationship Id="rId1989" Type="http://schemas.openxmlformats.org/officeDocument/2006/relationships/hyperlink" Target="http://www.lextres.com/" TargetMode="External"/><Relationship Id="rId43" Type="http://schemas.openxmlformats.org/officeDocument/2006/relationships/hyperlink" Target="https://casoaislado.com/miles-de-espanoles-firman-para-que-pablo-iglesias-sea-condenado-a-prision-por-delito-de-odio-contra-vox/" TargetMode="External"/><Relationship Id="rId1404" Type="http://schemas.openxmlformats.org/officeDocument/2006/relationships/hyperlink" Target="https://pbs.twimg.com/media/Dtkuw5oXcAIO9xZ.jpg" TargetMode="External"/><Relationship Id="rId1611" Type="http://schemas.openxmlformats.org/officeDocument/2006/relationships/hyperlink" Target="http://marat-asaltarloscielos.blogspot.com.es/" TargetMode="External"/><Relationship Id="rId1849" Type="http://schemas.openxmlformats.org/officeDocument/2006/relationships/hyperlink" Target="https://pbs.twimg.com/media/DtzN7I4XcAAgRc_.jpg" TargetMode="External"/><Relationship Id="rId192" Type="http://schemas.openxmlformats.org/officeDocument/2006/relationships/hyperlink" Target="https://m.publico.es/columnas/110597571549/dominio-publico-carta-al-tipo-que-mando-una-carta-a-pablo-iglesias" TargetMode="External"/><Relationship Id="rId1709" Type="http://schemas.openxmlformats.org/officeDocument/2006/relationships/hyperlink" Target="https://contrainformacion.es/category/espana/encontro-actualidade-galega/" TargetMode="External"/><Relationship Id="rId1916" Type="http://schemas.openxmlformats.org/officeDocument/2006/relationships/hyperlink" Target="https://www.elcorreodemadrid.com/opinion/664987103/Espero-que-no-me-haga-responsable-de-sus-hemorroides-Pablo-Iglesias-a-Santiago-Abascal.-Por-Verdades-Ofenden.html" TargetMode="External"/><Relationship Id="rId497" Type="http://schemas.openxmlformats.org/officeDocument/2006/relationships/hyperlink" Target="http://bit.ly/Porno-gratis" TargetMode="External"/><Relationship Id="rId2080" Type="http://schemas.openxmlformats.org/officeDocument/2006/relationships/hyperlink" Target="https://twitter.com/ierrejon/status/1070364901141594112" TargetMode="External"/><Relationship Id="rId2178" Type="http://schemas.openxmlformats.org/officeDocument/2006/relationships/hyperlink" Target="https://www.facebook.com/ethnojazzguitarfusion" TargetMode="External"/><Relationship Id="rId2385" Type="http://schemas.openxmlformats.org/officeDocument/2006/relationships/hyperlink" Target="https://pbs.twimg.com/media/DtuoahbWsAEYlqP.jpg" TargetMode="External"/><Relationship Id="rId357" Type="http://schemas.openxmlformats.org/officeDocument/2006/relationships/hyperlink" Target="https://www.elmatinal.com/actualidad/piden-la-detencion-de-pablo-iglesias-por-ser-el-promotor-de-las-violentas-manifestaciones-contra-vox-en-andalucia/" TargetMode="External"/><Relationship Id="rId1194" Type="http://schemas.openxmlformats.org/officeDocument/2006/relationships/hyperlink" Target="https://www.elmundo.es/baleares/2018/12/07/5c0a31e8fc6c83ee428b45c5.html" TargetMode="External"/><Relationship Id="rId2038" Type="http://schemas.openxmlformats.org/officeDocument/2006/relationships/hyperlink" Target="http://about.me/FernandoGallardo" TargetMode="External"/><Relationship Id="rId217" Type="http://schemas.openxmlformats.org/officeDocument/2006/relationships/hyperlink" Target="https://jordiserrano.wordpress.com/2018/12/08/carta-al-tipo-que-mando-una-carta-a-pablo-iglesias/" TargetMode="External"/><Relationship Id="rId564" Type="http://schemas.openxmlformats.org/officeDocument/2006/relationships/hyperlink" Target="http://pic.twitter.com/eeLeayDMFw" TargetMode="External"/><Relationship Id="rId771" Type="http://schemas.openxmlformats.org/officeDocument/2006/relationships/hyperlink" Target="http://chng.it/vm5YPPrK" TargetMode="External"/><Relationship Id="rId869" Type="http://schemas.openxmlformats.org/officeDocument/2006/relationships/hyperlink" Target="http://www.outono.net/elentir/2014/11/12/pablo-iglesias-reconoce-que-se-ha-dejado-usar-por-iran-para-desestabilizar-espana/" TargetMode="External"/><Relationship Id="rId1499" Type="http://schemas.openxmlformats.org/officeDocument/2006/relationships/hyperlink" Target="http://pic.twitter.com/HVD6msgDY1" TargetMode="External"/><Relationship Id="rId2245" Type="http://schemas.openxmlformats.org/officeDocument/2006/relationships/hyperlink" Target="https://twitter.com/diazvillanueva/status/1070770236192931841" TargetMode="External"/><Relationship Id="rId2452" Type="http://schemas.openxmlformats.org/officeDocument/2006/relationships/hyperlink" Target="https://okdiario.com/espana/2018/12/05/foros-militancia-podemos-arden-contra-iglesias-pablo-callate-haz-autocritica-3427399" TargetMode="External"/><Relationship Id="rId424" Type="http://schemas.openxmlformats.org/officeDocument/2006/relationships/hyperlink" Target="https://twitter.com/morenog_agustin/status/1071132248479535107" TargetMode="External"/><Relationship Id="rId631" Type="http://schemas.openxmlformats.org/officeDocument/2006/relationships/hyperlink" Target="http://j.mp/2Rydjra" TargetMode="External"/><Relationship Id="rId729" Type="http://schemas.openxmlformats.org/officeDocument/2006/relationships/hyperlink" Target="https://pbs.twimg.com/media/Dt3AbapUwAInrPf.jpg" TargetMode="External"/><Relationship Id="rId1054" Type="http://schemas.openxmlformats.org/officeDocument/2006/relationships/hyperlink" Target="https://pbs.twimg.com/media/Dt1ncjOW4AEQ7iI.jpg" TargetMode="External"/><Relationship Id="rId1261" Type="http://schemas.openxmlformats.org/officeDocument/2006/relationships/hyperlink" Target="https://twitter.com/pablocasado_/status/1071038887114539014" TargetMode="External"/><Relationship Id="rId1359" Type="http://schemas.openxmlformats.org/officeDocument/2006/relationships/hyperlink" Target="https://twitter.com/_ju1_/status/1070822535686696965" TargetMode="External"/><Relationship Id="rId2105" Type="http://schemas.openxmlformats.org/officeDocument/2006/relationships/hyperlink" Target="https://pbs.twimg.com/media/DtwOJdvW0AAjsCb.jpg" TargetMode="External"/><Relationship Id="rId2312" Type="http://schemas.openxmlformats.org/officeDocument/2006/relationships/hyperlink" Target="https://www.lavozdegalicia.es/noticia/espana/2018/12/06/podemos-rechaza-aplaudir-rey-pablo-iglesias-exige-modernizar-carta-magna/00031544098599071259903.htm" TargetMode="External"/><Relationship Id="rId936" Type="http://schemas.openxmlformats.org/officeDocument/2006/relationships/hyperlink" Target="https://youtu.be/zDlWsNm6fnE" TargetMode="External"/><Relationship Id="rId1121" Type="http://schemas.openxmlformats.org/officeDocument/2006/relationships/hyperlink" Target="https://ift.tt/2E95Drd" TargetMode="External"/><Relationship Id="rId1219" Type="http://schemas.openxmlformats.org/officeDocument/2006/relationships/hyperlink" Target="http://youtu.be/12Qr1C18reM?a" TargetMode="External"/><Relationship Id="rId1566" Type="http://schemas.openxmlformats.org/officeDocument/2006/relationships/hyperlink" Target="https://youtu.be/3eLKQ-zSPsk" TargetMode="External"/><Relationship Id="rId1773" Type="http://schemas.openxmlformats.org/officeDocument/2006/relationships/hyperlink" Target="https://www.esdiario.com/secciones/1/89/autor/autores.html" TargetMode="External"/><Relationship Id="rId1980" Type="http://schemas.openxmlformats.org/officeDocument/2006/relationships/hyperlink" Target="https://youtu.be/-zFA9g24CAs" TargetMode="External"/><Relationship Id="rId65" Type="http://schemas.openxmlformats.org/officeDocument/2006/relationships/hyperlink" Target="http://www.pigdemont.es/" TargetMode="External"/><Relationship Id="rId1426" Type="http://schemas.openxmlformats.org/officeDocument/2006/relationships/hyperlink" Target="http://www.gfcomunicacionintegral.es/" TargetMode="External"/><Relationship Id="rId1633" Type="http://schemas.openxmlformats.org/officeDocument/2006/relationships/hyperlink" Target="https://pbs.twimg.com/media/Dtz0DCoXcAARsH4.jpg" TargetMode="External"/><Relationship Id="rId1840" Type="http://schemas.openxmlformats.org/officeDocument/2006/relationships/hyperlink" Target="https://www.elconfidencial.com/espana/2018-12-06/rajoy-estrella-corrillos-congreso-40-aniversario-constitucion_1691026/?utm_source=facebook&amp;utm_medium=social&amp;utm_campaign=BotoneraWeb" TargetMode="External"/><Relationship Id="rId1700" Type="http://schemas.openxmlformats.org/officeDocument/2006/relationships/hyperlink" Target="https://www.esdiario.com/781025410/Pablo-Iglesias-se-desespera-al-quedarse-solo-en-su-caceria-al-Rey-Juan-Carlos.html" TargetMode="External"/><Relationship Id="rId1938" Type="http://schemas.openxmlformats.org/officeDocument/2006/relationships/hyperlink" Target="https://www.youtube.com/channel/UCY60GBj-H8SmayRG1UgDVWw" TargetMode="External"/><Relationship Id="rId281" Type="http://schemas.openxmlformats.org/officeDocument/2006/relationships/hyperlink" Target="http://www.grancanariatv.com/" TargetMode="External"/><Relationship Id="rId141" Type="http://schemas.openxmlformats.org/officeDocument/2006/relationships/hyperlink" Target="http://pic.twitter.com/mzPAbVCb5z" TargetMode="External"/><Relationship Id="rId379" Type="http://schemas.openxmlformats.org/officeDocument/2006/relationships/hyperlink" Target="https://pbs.twimg.com/media/Dt46nBaWoAEid0w.jpg" TargetMode="External"/><Relationship Id="rId586" Type="http://schemas.openxmlformats.org/officeDocument/2006/relationships/hyperlink" Target="http://pic.twitter.com/iADKUPm4Iv" TargetMode="External"/><Relationship Id="rId793" Type="http://schemas.openxmlformats.org/officeDocument/2006/relationships/hyperlink" Target="https://youtu.be/hm-DNijFbYk" TargetMode="External"/><Relationship Id="rId2267" Type="http://schemas.openxmlformats.org/officeDocument/2006/relationships/hyperlink" Target="https://www.elcorreodemadrid.com/opinion/367154428/Pablo-Iglesias-eres-un-canalla.-Por-Francisco-Lanzas.html" TargetMode="External"/><Relationship Id="rId2474" Type="http://schemas.openxmlformats.org/officeDocument/2006/relationships/hyperlink" Target="https://twitter.com/juanralucas/status/1070681798819151872" TargetMode="External"/><Relationship Id="rId7" Type="http://schemas.openxmlformats.org/officeDocument/2006/relationships/hyperlink" Target="http://j.mp/2EdLMrI" TargetMode="External"/><Relationship Id="rId239" Type="http://schemas.openxmlformats.org/officeDocument/2006/relationships/hyperlink" Target="https://pbs.twimg.com/media/Dt5UeOyWoAAb2-W.jpg" TargetMode="External"/><Relationship Id="rId446" Type="http://schemas.openxmlformats.org/officeDocument/2006/relationships/hyperlink" Target="https://twitter.com/carola2hope/status/1071127505627541504" TargetMode="External"/><Relationship Id="rId653" Type="http://schemas.openxmlformats.org/officeDocument/2006/relationships/hyperlink" Target="http://pic.twitter.com/QHKpCwCyVH" TargetMode="External"/><Relationship Id="rId1076" Type="http://schemas.openxmlformats.org/officeDocument/2006/relationships/hyperlink" Target="https://eldebate.es/politica-de-estado/las-4-menciones-a-espana-que-podemos-borro-del-discurso-de-pablo-iglesias-tras-el-2-d-20181207/amp?__twitter_impression=true" TargetMode="External"/><Relationship Id="rId1283" Type="http://schemas.openxmlformats.org/officeDocument/2006/relationships/hyperlink" Target="https://pbs.twimg.com/media/DtzvtJoW0AAq6Es.jpg" TargetMode="External"/><Relationship Id="rId1490" Type="http://schemas.openxmlformats.org/officeDocument/2006/relationships/hyperlink" Target="https://contrainformacion.es/iu-y-el-pce-presentan-una-querella-contra-entre-otros-el-rey-emerito-porque-esta-monarquia-no-es-trigo-limpio-aunque-hoy-nos-den-lecciones-de-democracia/" TargetMode="External"/><Relationship Id="rId2127" Type="http://schemas.openxmlformats.org/officeDocument/2006/relationships/hyperlink" Target="https://okdiario.com/espana/2018/12/06/sanchez-cree-que-nuevo-consorcio-derechas-abre-espacio-psoe-3437553/amp?utm_term=Autofeed&amp;utm_campaign=ok&amp;utm_medium=Social&amp;utm_source=Twitter&amp;__twitter_impression=true" TargetMode="External"/><Relationship Id="rId2334" Type="http://schemas.openxmlformats.org/officeDocument/2006/relationships/hyperlink" Target="https://m.casadellibro.com/libro-la-casita-del-trigo/9788417573300/7408561" TargetMode="External"/><Relationship Id="rId306" Type="http://schemas.openxmlformats.org/officeDocument/2006/relationships/hyperlink" Target="http://www.diarioalcazar.com/2018/12/pablo-iglesias-podria-ser-juzgado-por.html?m=1&amp;fbclid=IwAR0NzKZya142PxdvH4SJ6Z0pUxrPqlWkzR47RWCeyEXlQGXbs4Uk5ylqpzA" TargetMode="External"/><Relationship Id="rId860" Type="http://schemas.openxmlformats.org/officeDocument/2006/relationships/hyperlink" Target="https://twitter.com/gabylopez83/status/1071161925734723584" TargetMode="External"/><Relationship Id="rId958" Type="http://schemas.openxmlformats.org/officeDocument/2006/relationships/hyperlink" Target="https://www.youtube.com/attribution_link?a=0ElnmTiPYLE&amp;u=%2Fwatch%3Fv%3D-zFA9g24CAs%26feature%3Dshare" TargetMode="External"/><Relationship Id="rId1143" Type="http://schemas.openxmlformats.org/officeDocument/2006/relationships/hyperlink" Target="https://okdiario.com/espana/2018/12/06/pablo-iglesias-reivindica-republica-como-solucion-problemas-espana-3435080" TargetMode="External"/><Relationship Id="rId1588" Type="http://schemas.openxmlformats.org/officeDocument/2006/relationships/hyperlink" Target="https://pbs.twimg.com/media/Dtz8TN4XgAAOXGm.jpg" TargetMode="External"/><Relationship Id="rId1795" Type="http://schemas.openxmlformats.org/officeDocument/2006/relationships/hyperlink" Target="https://pbs.twimg.com/media/DtzWRNeX4AIHF35.jpg" TargetMode="External"/><Relationship Id="rId2541" Type="http://schemas.openxmlformats.org/officeDocument/2006/relationships/hyperlink" Target="https://plus.google.com/101097701906649811564" TargetMode="External"/><Relationship Id="rId87" Type="http://schemas.openxmlformats.org/officeDocument/2006/relationships/hyperlink" Target="https://pbs.twimg.com/media/Dt521dxU0AAg7DS.jpg" TargetMode="External"/><Relationship Id="rId513" Type="http://schemas.openxmlformats.org/officeDocument/2006/relationships/hyperlink" Target="http://youtu.be/mQF9llh5PfM?a" TargetMode="External"/><Relationship Id="rId720" Type="http://schemas.openxmlformats.org/officeDocument/2006/relationships/hyperlink" Target="https://twitter.com/adela_vila/status/1071221446943367168" TargetMode="External"/><Relationship Id="rId818" Type="http://schemas.openxmlformats.org/officeDocument/2006/relationships/hyperlink" Target="https://pbs.twimg.com/media/Dt2XEbZX4AEWYrP.jpg" TargetMode="External"/><Relationship Id="rId1350" Type="http://schemas.openxmlformats.org/officeDocument/2006/relationships/hyperlink" Target="https://eldebate.es/" TargetMode="External"/><Relationship Id="rId1448" Type="http://schemas.openxmlformats.org/officeDocument/2006/relationships/hyperlink" Target="https://pbs.twimg.com/media/Dtv3IwoXQAUjEUJ.jpg" TargetMode="External"/><Relationship Id="rId1655" Type="http://schemas.openxmlformats.org/officeDocument/2006/relationships/hyperlink" Target="https://okdiario.com/espana/2018/11/15/gonzalez-sobre-fuerza-iglesias-gobierno-si-fuera-presidente-no-gustaria-3353625" TargetMode="External"/><Relationship Id="rId2401" Type="http://schemas.openxmlformats.org/officeDocument/2006/relationships/hyperlink" Target="http://elleteoenverso.blogspot.com/" TargetMode="External"/><Relationship Id="rId1003" Type="http://schemas.openxmlformats.org/officeDocument/2006/relationships/hyperlink" Target="https://youtu.be/FHjGfot7oKc" TargetMode="External"/><Relationship Id="rId1210" Type="http://schemas.openxmlformats.org/officeDocument/2006/relationships/hyperlink" Target="https://twitter.com/rouco64/status/1071032276908150784" TargetMode="External"/><Relationship Id="rId1308" Type="http://schemas.openxmlformats.org/officeDocument/2006/relationships/hyperlink" Target="https://pamplonaactual.com/el-colectivo-de-madres-envia-una-carta-a-pablo-iglesias-y-alberto-garzon-para-informarles-de-la-situacion-de-desigualdad-de-las-familias-navarras/" TargetMode="External"/><Relationship Id="rId1862" Type="http://schemas.openxmlformats.org/officeDocument/2006/relationships/hyperlink" Target="https://pbs.twimg.com/media/DtzKYloXgAAaj-n.jpg" TargetMode="External"/><Relationship Id="rId1515" Type="http://schemas.openxmlformats.org/officeDocument/2006/relationships/hyperlink" Target="https://www.europapress.es/nacional/noticia-pablo-iglesias-exige-modernizar-constitucion-reivindica-republica-acto-reyes-20181206114524.html" TargetMode="External"/><Relationship Id="rId1722" Type="http://schemas.openxmlformats.org/officeDocument/2006/relationships/hyperlink" Target="http://www.larazon.es/espana/el-dia-que-julio-anguita-pidio-el-voto-para-la-extrema-derecha-IP20859010" TargetMode="External"/><Relationship Id="rId14" Type="http://schemas.openxmlformats.org/officeDocument/2006/relationships/hyperlink" Target="http://www.aguadosat.com/" TargetMode="External"/><Relationship Id="rId2191" Type="http://schemas.openxmlformats.org/officeDocument/2006/relationships/hyperlink" Target="http://pic.twitter.com/rLURzuOWny" TargetMode="External"/><Relationship Id="rId163" Type="http://schemas.openxmlformats.org/officeDocument/2006/relationships/hyperlink" Target="https://okdiario.com/espana/2018/12/05/foros-militancia-podemos-arden-contra-iglesias-pablo-callate-haz-autocritica-3427399" TargetMode="External"/><Relationship Id="rId370" Type="http://schemas.openxmlformats.org/officeDocument/2006/relationships/hyperlink" Target="https://pbs.twimg.com/media/Dt487-tWkAAu8iu.jpg" TargetMode="External"/><Relationship Id="rId2051" Type="http://schemas.openxmlformats.org/officeDocument/2006/relationships/hyperlink" Target="https://twitter.com/infiltradoxxx/status/1070783826413129729" TargetMode="External"/><Relationship Id="rId2289" Type="http://schemas.openxmlformats.org/officeDocument/2006/relationships/hyperlink" Target="https://www.youtube.com/watch?v=SYDcIq0xzZQ&amp;feature=share" TargetMode="External"/><Relationship Id="rId2496" Type="http://schemas.openxmlformats.org/officeDocument/2006/relationships/hyperlink" Target="https://youtu.be/DMwJVoF9kos" TargetMode="External"/><Relationship Id="rId230" Type="http://schemas.openxmlformats.org/officeDocument/2006/relationships/hyperlink" Target="http://chng.it/Fh9Jqmkt" TargetMode="External"/><Relationship Id="rId468" Type="http://schemas.openxmlformats.org/officeDocument/2006/relationships/hyperlink" Target="https://youtu.be/JmmcYXX31uA" TargetMode="External"/><Relationship Id="rId675" Type="http://schemas.openxmlformats.org/officeDocument/2006/relationships/hyperlink" Target="https://www.vozpopuli.com/medios/alerta-antifascista-degenerados-ciudadanos_0_1197781114.html" TargetMode="External"/><Relationship Id="rId882" Type="http://schemas.openxmlformats.org/officeDocument/2006/relationships/hyperlink" Target="https://pbs.twimg.com/media/Dt2IszDWwAA_rcq.jpg" TargetMode="External"/><Relationship Id="rId1098" Type="http://schemas.openxmlformats.org/officeDocument/2006/relationships/hyperlink" Target="https://www.mediterraneodigital.com/espana/comunidad-de-madrid/pablo-iglesias-me-da-vergueenza-como-espanol-que-exista-vox.html" TargetMode="External"/><Relationship Id="rId2149" Type="http://schemas.openxmlformats.org/officeDocument/2006/relationships/hyperlink" Target="https://twitter.com/maitepagaza/status/1070628192329891840" TargetMode="External"/><Relationship Id="rId2356" Type="http://schemas.openxmlformats.org/officeDocument/2006/relationships/hyperlink" Target="https://pbs.twimg.com/media/DtwB-hwXcAAuCul.jpg" TargetMode="External"/><Relationship Id="rId2563" Type="http://schemas.openxmlformats.org/officeDocument/2006/relationships/hyperlink" Target="https://www.elmatinal.com/actualidad/piden-la-detencion-de-pablo-iglesias-por-ser-el-promotor-de-las-violentas-manifestaciones-contra-vox-en-andalucia/" TargetMode="External"/><Relationship Id="rId328" Type="http://schemas.openxmlformats.org/officeDocument/2006/relationships/hyperlink" Target="https://twitter.com/Pistolaskike/status/1071209462868910085" TargetMode="External"/><Relationship Id="rId535" Type="http://schemas.openxmlformats.org/officeDocument/2006/relationships/hyperlink" Target="https://www.elmundo.es/baleares/2018/12/07/5c0a31e8fc6c83ee428b45c5.html" TargetMode="External"/><Relationship Id="rId742" Type="http://schemas.openxmlformats.org/officeDocument/2006/relationships/hyperlink" Target="https://pbs.twimg.com/media/Dt22VOlW4AAZ2UK.jpg" TargetMode="External"/><Relationship Id="rId1165" Type="http://schemas.openxmlformats.org/officeDocument/2006/relationships/hyperlink" Target="http://dlvr.it/Qt4snC" TargetMode="External"/><Relationship Id="rId1372" Type="http://schemas.openxmlformats.org/officeDocument/2006/relationships/hyperlink" Target="https://pbs.twimg.com/media/Dt0j0h_WsAAFRc1.jpg" TargetMode="External"/><Relationship Id="rId2009" Type="http://schemas.openxmlformats.org/officeDocument/2006/relationships/hyperlink" Target="https://pbs.twimg.com/media/Dtx1DJ3WwAEl_Dt.jpg" TargetMode="External"/><Relationship Id="rId2216" Type="http://schemas.openxmlformats.org/officeDocument/2006/relationships/hyperlink" Target="https://twitter.com/fgbfrancisco/status/1070798708323876864" TargetMode="External"/><Relationship Id="rId2423" Type="http://schemas.openxmlformats.org/officeDocument/2006/relationships/hyperlink" Target="http://www.tappy.es/" TargetMode="External"/><Relationship Id="rId602" Type="http://schemas.openxmlformats.org/officeDocument/2006/relationships/hyperlink" Target="https://trib.al/jZ2VQ3T" TargetMode="External"/><Relationship Id="rId1025" Type="http://schemas.openxmlformats.org/officeDocument/2006/relationships/hyperlink" Target="http://okdiario.com/" TargetMode="External"/><Relationship Id="rId1232" Type="http://schemas.openxmlformats.org/officeDocument/2006/relationships/hyperlink" Target="http://www.publico.es/" TargetMode="External"/><Relationship Id="rId1677" Type="http://schemas.openxmlformats.org/officeDocument/2006/relationships/hyperlink" Target="https://www.eldiario.es/politica/Pablo-Iglesias-contrapone-republicanismo-feminista_0_843416120.html" TargetMode="External"/><Relationship Id="rId1884" Type="http://schemas.openxmlformats.org/officeDocument/2006/relationships/hyperlink" Target="https://www.youtube.com/watch?v=1JG0LDBkjz4" TargetMode="External"/><Relationship Id="rId907" Type="http://schemas.openxmlformats.org/officeDocument/2006/relationships/hyperlink" Target="https://www.abc.es/opinion/abci-enmienda-totalidad-201812070052_noticia.html" TargetMode="External"/><Relationship Id="rId1537" Type="http://schemas.openxmlformats.org/officeDocument/2006/relationships/hyperlink" Target="http://pic.twitter.com/DIMjapOq7P" TargetMode="External"/><Relationship Id="rId1744" Type="http://schemas.openxmlformats.org/officeDocument/2006/relationships/hyperlink" Target="https://pbs.twimg.com/media/DtxUGQuWoAAMlWf.jpg" TargetMode="External"/><Relationship Id="rId1951" Type="http://schemas.openxmlformats.org/officeDocument/2006/relationships/hyperlink" Target="http://www.esdiario.com/" TargetMode="External"/><Relationship Id="rId36" Type="http://schemas.openxmlformats.org/officeDocument/2006/relationships/hyperlink" Target="https://casoaislado.com/abascal-culpa-a-iglesias-del-ataque-a-dos-afiliados-de-vox-hasta-cuando-vais-a-seguir-los-comunistas-rompiendo-la-convivencia/" TargetMode="External"/><Relationship Id="rId1604" Type="http://schemas.openxmlformats.org/officeDocument/2006/relationships/hyperlink" Target="https://twitter.com/infiltradoxxx/status/1070783826413129729" TargetMode="External"/><Relationship Id="rId185" Type="http://schemas.openxmlformats.org/officeDocument/2006/relationships/hyperlink" Target="https://pbs.twimg.com/media/Dt5idBHWkAA_F18.jpg" TargetMode="External"/><Relationship Id="rId1811" Type="http://schemas.openxmlformats.org/officeDocument/2006/relationships/hyperlink" Target="https://pbs.twimg.com/media/DtzRqlgW4AAHvCm.jpg" TargetMode="External"/><Relationship Id="rId1909" Type="http://schemas.openxmlformats.org/officeDocument/2006/relationships/hyperlink" Target="https://pbs.twimg.com/media/DtzA42DXQAAtfJa.jpg" TargetMode="External"/><Relationship Id="rId392" Type="http://schemas.openxmlformats.org/officeDocument/2006/relationships/hyperlink" Target="https://twitter.com/carloscuestaEM/status/1071354635670183937" TargetMode="External"/><Relationship Id="rId697" Type="http://schemas.openxmlformats.org/officeDocument/2006/relationships/hyperlink" Target="https://contrainformacion.es/iu-y-el-pce-presentan-una-querella-contra-entre-otros-el-rey-emerito-porque-esta-monarquia-no-es-trigo-limpio-aunque-hoy-nos-den-lecciones-de-democracia/" TargetMode="External"/><Relationship Id="rId2073" Type="http://schemas.openxmlformats.org/officeDocument/2006/relationships/hyperlink" Target="https://wp.me/p26M0z-Ep6" TargetMode="External"/><Relationship Id="rId2280" Type="http://schemas.openxmlformats.org/officeDocument/2006/relationships/hyperlink" Target="https://pbs.twimg.com/media/Dtw47XOUcAAbF2v.jpg" TargetMode="External"/><Relationship Id="rId2378" Type="http://schemas.openxmlformats.org/officeDocument/2006/relationships/hyperlink" Target="https://www.larazon.es/espana/el-simbolo-de-la-republica-de-podemos-un-logo-de-peluqueria-que-cuesta-1-99-euros-AM20861991" TargetMode="External"/><Relationship Id="rId252" Type="http://schemas.openxmlformats.org/officeDocument/2006/relationships/hyperlink" Target="https://casoaislado.com/la-incitacion-al-odio-contra-vox-de-pablo-iglesias-deja-sus-primeras-victimas-dos-afiliados-son-agredidos-en-murcia/" TargetMode="External"/><Relationship Id="rId1187" Type="http://schemas.openxmlformats.org/officeDocument/2006/relationships/hyperlink" Target="http://youtu.be/ujNpqraCBIg?a" TargetMode="External"/><Relationship Id="rId2140" Type="http://schemas.openxmlformats.org/officeDocument/2006/relationships/hyperlink" Target="http://futbolaragones.com/" TargetMode="External"/><Relationship Id="rId112" Type="http://schemas.openxmlformats.org/officeDocument/2006/relationships/hyperlink" Target="https://pbs.twimg.com/media/Dt5w4VZX4AAqRq6.jpg" TargetMode="External"/><Relationship Id="rId557" Type="http://schemas.openxmlformats.org/officeDocument/2006/relationships/hyperlink" Target="https://www.facebook.com/groups/1523383624657240/?fref=nf" TargetMode="External"/><Relationship Id="rId764" Type="http://schemas.openxmlformats.org/officeDocument/2006/relationships/hyperlink" Target="http://www.ramblalibre.com/" TargetMode="External"/><Relationship Id="rId971" Type="http://schemas.openxmlformats.org/officeDocument/2006/relationships/hyperlink" Target="https://www.youtube.com/watch?v=4AZ6l_erQeo" TargetMode="External"/><Relationship Id="rId1394" Type="http://schemas.openxmlformats.org/officeDocument/2006/relationships/hyperlink" Target="https://twitter.com/pablo_iglesias_/status/1071040955615195136" TargetMode="External"/><Relationship Id="rId1699" Type="http://schemas.openxmlformats.org/officeDocument/2006/relationships/hyperlink" Target="https://www.periodistadigital.com/periodismo/prensa/2018/12/07/payasada-casposa-podemos-cuelan-logo-republica-marca-champu-wella-balsam-pablo-iglesias.shtml" TargetMode="External"/><Relationship Id="rId2000" Type="http://schemas.openxmlformats.org/officeDocument/2006/relationships/hyperlink" Target="http://www.sumarium.es/" TargetMode="External"/><Relationship Id="rId2238" Type="http://schemas.openxmlformats.org/officeDocument/2006/relationships/hyperlink" Target="http://copiajuridica.es/" TargetMode="External"/><Relationship Id="rId2445" Type="http://schemas.openxmlformats.org/officeDocument/2006/relationships/hyperlink" Target="http://youtu.be/3eLKQ-zSPsk?a" TargetMode="External"/><Relationship Id="rId417" Type="http://schemas.openxmlformats.org/officeDocument/2006/relationships/hyperlink" Target="http://pic.twitter.com/jwDNUiEa9K" TargetMode="External"/><Relationship Id="rId624" Type="http://schemas.openxmlformats.org/officeDocument/2006/relationships/hyperlink" Target="https://www.periodistadigital.com/ocio-y-cultura/gente/2018/12/08/bertin-osborne-hunde-miseria-pablo-iglesias-no-voto-muerto-borracho-vino.shtml" TargetMode="External"/><Relationship Id="rId831" Type="http://schemas.openxmlformats.org/officeDocument/2006/relationships/hyperlink" Target="https://goo.gl/EhVPjq" TargetMode="External"/><Relationship Id="rId1047" Type="http://schemas.openxmlformats.org/officeDocument/2006/relationships/hyperlink" Target="https://www.esdiario.com/781025410/Pablo-Iglesias-se-desespera-al-quedarse-solo-en-su-caceria-al-Rey-Juan-Carlos.html" TargetMode="External"/><Relationship Id="rId1254" Type="http://schemas.openxmlformats.org/officeDocument/2006/relationships/hyperlink" Target="https://twitter.com/jmdelalamo/status/1070674475925016576" TargetMode="External"/><Relationship Id="rId1461" Type="http://schemas.openxmlformats.org/officeDocument/2006/relationships/hyperlink" Target="https://www.libertaddigital.com/espana/2014-05-27/algunas-perlas-de-pablo-iglesias-1276519718/" TargetMode="External"/><Relationship Id="rId2305" Type="http://schemas.openxmlformats.org/officeDocument/2006/relationships/hyperlink" Target="https://pbs.twimg.com/media/Dtw1LxnXcAYjihU.jpg" TargetMode="External"/><Relationship Id="rId2512" Type="http://schemas.openxmlformats.org/officeDocument/2006/relationships/hyperlink" Target="http://20minutos.es/" TargetMode="External"/><Relationship Id="rId929" Type="http://schemas.openxmlformats.org/officeDocument/2006/relationships/hyperlink" Target="https://www.huffingtonpost.es/2018/12/07/el-dardo-de-bertin-osborne-a-gabriel-rufian-y-pablo-iglesias-espana-es-el-pais-con-mas-politicos-idiotas-por-metro-cuadrado_a_23611885/?ncid=other_twitter_cooo9wqtham&amp;utm_campaign=share_twitter" TargetMode="External"/><Relationship Id="rId1114" Type="http://schemas.openxmlformats.org/officeDocument/2006/relationships/hyperlink" Target="http://chng.it/W6dVHjZm" TargetMode="External"/><Relationship Id="rId1321" Type="http://schemas.openxmlformats.org/officeDocument/2006/relationships/hyperlink" Target="https://bit.ly/2N15MmB" TargetMode="External"/><Relationship Id="rId1559" Type="http://schemas.openxmlformats.org/officeDocument/2006/relationships/hyperlink" Target="http://instagram.com/jonyjms" TargetMode="External"/><Relationship Id="rId1766" Type="http://schemas.openxmlformats.org/officeDocument/2006/relationships/hyperlink" Target="https://youtu.be/PNx8YV40Gbk" TargetMode="External"/><Relationship Id="rId1973" Type="http://schemas.openxmlformats.org/officeDocument/2006/relationships/hyperlink" Target="http://pic.twitter.com/jtTFDcn4xm" TargetMode="External"/><Relationship Id="rId58" Type="http://schemas.openxmlformats.org/officeDocument/2006/relationships/hyperlink" Target="http://www.fundalib.org/" TargetMode="External"/><Relationship Id="rId1419" Type="http://schemas.openxmlformats.org/officeDocument/2006/relationships/hyperlink" Target="https://www.youtube.com/channel/UCfK2E_-PvYyMdJFhpFwHQ9A" TargetMode="External"/><Relationship Id="rId1626" Type="http://schemas.openxmlformats.org/officeDocument/2006/relationships/hyperlink" Target="http://www.mediterraneodigital.com/espana/espana/ridiculo-apoteosico-pedro-sanchez-pide-reformar-la-constitucion-para-incluir-un-articulo-que-ya-existe.html" TargetMode="External"/><Relationship Id="rId1833" Type="http://schemas.openxmlformats.org/officeDocument/2006/relationships/hyperlink" Target="https://twitter.com/arturelpayaso2/status/1070319016483414021" TargetMode="External"/><Relationship Id="rId1900" Type="http://schemas.openxmlformats.org/officeDocument/2006/relationships/hyperlink" Target="http://pic.twitter.com/6ZZnzsXUe7" TargetMode="External"/><Relationship Id="rId2095" Type="http://schemas.openxmlformats.org/officeDocument/2006/relationships/hyperlink" Target="https://www.youtube.com/channel/UCAj-LFssuCq7Lhx7IbIjqBg" TargetMode="External"/><Relationship Id="rId274" Type="http://schemas.openxmlformats.org/officeDocument/2006/relationships/hyperlink" Target="http://chng.it/QWMPmsYX" TargetMode="External"/><Relationship Id="rId481" Type="http://schemas.openxmlformats.org/officeDocument/2006/relationships/hyperlink" Target="http://www.huffingtonpost.es/" TargetMode="External"/><Relationship Id="rId2162" Type="http://schemas.openxmlformats.org/officeDocument/2006/relationships/hyperlink" Target="https://youtu.be/4qAf1KzbkzQ" TargetMode="External"/><Relationship Id="rId134" Type="http://schemas.openxmlformats.org/officeDocument/2006/relationships/hyperlink" Target="https://www.huffingtonpost.es/2018/12/07/el-dardo-de-bertin-osborne-a-gabriel-rufian-y-pablo-iglesias-espana-es-el-pais-con-mas-politicos-idiotas-por-metro-cuadrado_a_23611885/?ncid=other_twitter_cooo9wqtham&amp;utm_campaign=share_twitter" TargetMode="External"/><Relationship Id="rId579" Type="http://schemas.openxmlformats.org/officeDocument/2006/relationships/hyperlink" Target="https://toyyyestudiando.blogspot.com/2018/12/derecha-sin-derechopablo-iglesias-es.html?spref=fb" TargetMode="External"/><Relationship Id="rId786" Type="http://schemas.openxmlformats.org/officeDocument/2006/relationships/hyperlink" Target="http://blogdebabunita.blogspot.com/" TargetMode="External"/><Relationship Id="rId993" Type="http://schemas.openxmlformats.org/officeDocument/2006/relationships/hyperlink" Target="https://youtu.be/EG93mJ-GFVQ" TargetMode="External"/><Relationship Id="rId2467" Type="http://schemas.openxmlformats.org/officeDocument/2006/relationships/hyperlink" Target="https://elpais.com/politica/2018/12/06/actualidad/1544100381_203267.html?id_externo_rsoc=TW_CC" TargetMode="External"/><Relationship Id="rId341" Type="http://schemas.openxmlformats.org/officeDocument/2006/relationships/hyperlink" Target="https://www.google.es/amp/s/www.libremercado.com/2018-05-23/cuanto-cobran-realmente-pablo-iglesias-e-irene-montero-ingresaran-unos-12000-euros-al-mes-1276619156/amp.html" TargetMode="External"/><Relationship Id="rId439" Type="http://schemas.openxmlformats.org/officeDocument/2006/relationships/hyperlink" Target="http://www.bit.ly/CazaEsViolencia" TargetMode="External"/><Relationship Id="rId646" Type="http://schemas.openxmlformats.org/officeDocument/2006/relationships/hyperlink" Target="https://twitter.com/trendinaliaES/timelines/1071285280697544714" TargetMode="External"/><Relationship Id="rId1069" Type="http://schemas.openxmlformats.org/officeDocument/2006/relationships/hyperlink" Target="https://pbs.twimg.com/media/Dtkuw5oXcAIO9xZ.jpg" TargetMode="External"/><Relationship Id="rId1276" Type="http://schemas.openxmlformats.org/officeDocument/2006/relationships/hyperlink" Target="https://afectadosatresmedia.blogspot.com.es/" TargetMode="External"/><Relationship Id="rId1483" Type="http://schemas.openxmlformats.org/officeDocument/2006/relationships/hyperlink" Target="https://www.esdiario.com/781025410/Pablo-Iglesias-se-desespera-al-quedarse-solo-en-su-caceria-al-Rey-Juan-Carlos.html" TargetMode="External"/><Relationship Id="rId2022" Type="http://schemas.openxmlformats.org/officeDocument/2006/relationships/hyperlink" Target="http://www.diarioalcazar.com/2018/12/pablo-iglesias-podria-ser-juzgado-por.html" TargetMode="External"/><Relationship Id="rId2327" Type="http://schemas.openxmlformats.org/officeDocument/2006/relationships/hyperlink" Target="https://twitter.com/helendmyers/status/1070599828978192385" TargetMode="External"/><Relationship Id="rId201" Type="http://schemas.openxmlformats.org/officeDocument/2006/relationships/hyperlink" Target="https://www.elmundo.es/baleares/2018/12/07/5c0a31e8fc6c83ee428b45c5.html" TargetMode="External"/><Relationship Id="rId506" Type="http://schemas.openxmlformats.org/officeDocument/2006/relationships/hyperlink" Target="https://www.periodistadigital.com/ocio-y-cultura/gente/2018/12/08/bertin-osborne-hunde-miseria-pablo-iglesias-no-voto-muerto-borracho-vino.shtml" TargetMode="External"/><Relationship Id="rId853" Type="http://schemas.openxmlformats.org/officeDocument/2006/relationships/hyperlink" Target="https://pbs.twimg.com/media/Dt2P12vWsAE624L.jpg" TargetMode="External"/><Relationship Id="rId1136" Type="http://schemas.openxmlformats.org/officeDocument/2006/relationships/hyperlink" Target="https://twitter.com/RIVAS_Llanera/status/1071017610152738817" TargetMode="External"/><Relationship Id="rId1690" Type="http://schemas.openxmlformats.org/officeDocument/2006/relationships/hyperlink" Target="http://www.marioortega.org/" TargetMode="External"/><Relationship Id="rId1788" Type="http://schemas.openxmlformats.org/officeDocument/2006/relationships/hyperlink" Target="http://www.elsebas.net/" TargetMode="External"/><Relationship Id="rId1995" Type="http://schemas.openxmlformats.org/officeDocument/2006/relationships/hyperlink" Target="https://twitter.com/siglo__XXI/status/1070665441817870336" TargetMode="External"/><Relationship Id="rId2534" Type="http://schemas.openxmlformats.org/officeDocument/2006/relationships/hyperlink" Target="http://pic.twitter.com/gHkjx4Hpw5" TargetMode="External"/><Relationship Id="rId713" Type="http://schemas.openxmlformats.org/officeDocument/2006/relationships/hyperlink" Target="https://www.elmundo.es/loc/famosos/2018/12/08/5c0a3ffffc6c8320198b45e5.html" TargetMode="External"/><Relationship Id="rId920" Type="http://schemas.openxmlformats.org/officeDocument/2006/relationships/hyperlink" Target="http://gaab75.blogspot.com/" TargetMode="External"/><Relationship Id="rId1343" Type="http://schemas.openxmlformats.org/officeDocument/2006/relationships/hyperlink" Target="https://www.mediterraneodigital.com/espana/internacional/el-gobierno-pagara-la-universidad-a-los-estudiantes-marroquies.html" TargetMode="External"/><Relationship Id="rId1550" Type="http://schemas.openxmlformats.org/officeDocument/2006/relationships/hyperlink" Target="https://www.elmundo.es/baleares/2018/12/07/5c0a31e8fc6c83ee428b45c5.html" TargetMode="External"/><Relationship Id="rId1648" Type="http://schemas.openxmlformats.org/officeDocument/2006/relationships/hyperlink" Target="http://pic.twitter.com/XAV63mse3v" TargetMode="External"/><Relationship Id="rId1203" Type="http://schemas.openxmlformats.org/officeDocument/2006/relationships/hyperlink" Target="https://youtu.be/-chZu7V3NTM" TargetMode="External"/><Relationship Id="rId1410" Type="http://schemas.openxmlformats.org/officeDocument/2006/relationships/hyperlink" Target="https://www.elmatinal.com/actualidad/piden-la-detencion-de-pablo-iglesias-por-ser-el-promotor-de-las-violentas-manifestaciones-contra-vox-en-andalucia/" TargetMode="External"/><Relationship Id="rId1508" Type="http://schemas.openxmlformats.org/officeDocument/2006/relationships/hyperlink" Target="https://pbs.twimg.com/media/Dtzv4CuXcAA5HMu.jpg" TargetMode="External"/><Relationship Id="rId1855" Type="http://schemas.openxmlformats.org/officeDocument/2006/relationships/hyperlink" Target="https://m.europapress.es/nacional/noticia-pablo-iglesias-critica-discurso-decepcionante-rey-ovacion-sobreactuada-juan-carlos-20181206140752.html" TargetMode="External"/><Relationship Id="rId1715" Type="http://schemas.openxmlformats.org/officeDocument/2006/relationships/hyperlink" Target="https://www.elmatinal.com/actualidad/piden-la-detencion-de-pablo-iglesias-por-ser-el-promotor-de-las-violentas-manifestaciones-contra-vox-en-andalucia/" TargetMode="External"/><Relationship Id="rId1922" Type="http://schemas.openxmlformats.org/officeDocument/2006/relationships/hyperlink" Target="https://twitter.com/el_pais/status/1070938472951754752" TargetMode="External"/><Relationship Id="rId296" Type="http://schemas.openxmlformats.org/officeDocument/2006/relationships/hyperlink" Target="http://guadalajara.ciudadanos-cs.org/" TargetMode="External"/><Relationship Id="rId2184" Type="http://schemas.openxmlformats.org/officeDocument/2006/relationships/hyperlink" Target="http://paper.li/lobo_solito/1343408781" TargetMode="External"/><Relationship Id="rId2391" Type="http://schemas.openxmlformats.org/officeDocument/2006/relationships/hyperlink" Target="https://pbs.twimg.com/media/DtwrdX4WwAAasuu.jpg" TargetMode="External"/><Relationship Id="rId156" Type="http://schemas.openxmlformats.org/officeDocument/2006/relationships/hyperlink" Target="http://youtu.be/12Qr1C18reM?a" TargetMode="External"/><Relationship Id="rId363" Type="http://schemas.openxmlformats.org/officeDocument/2006/relationships/hyperlink" Target="https://www.elmundo.es/loc/famosos/2018/12/08/5c0a3ffffc6c8320198b45e5.html" TargetMode="External"/><Relationship Id="rId570" Type="http://schemas.openxmlformats.org/officeDocument/2006/relationships/hyperlink" Target="https://www.esdiario.com/781025410/Pablo-Iglesias-se-desespera-al-quedarse-solo-en-su-caceria-al-Rey-Juan-Carlos.html" TargetMode="External"/><Relationship Id="rId2044" Type="http://schemas.openxmlformats.org/officeDocument/2006/relationships/hyperlink" Target="https://pbs.twimg.com/media/Dtxhq39WkAEY753.jpg" TargetMode="External"/><Relationship Id="rId2251" Type="http://schemas.openxmlformats.org/officeDocument/2006/relationships/hyperlink" Target="http://pic.twitter.com/B2dnhj5d9l" TargetMode="External"/><Relationship Id="rId2489" Type="http://schemas.openxmlformats.org/officeDocument/2006/relationships/hyperlink" Target="http://pic.twitter.com/MdfwvNSZyy" TargetMode="External"/><Relationship Id="rId223" Type="http://schemas.openxmlformats.org/officeDocument/2006/relationships/hyperlink" Target="https://casoaislado.com/miles-de-espanoles-firman-para-que-pablo-iglesias-sea-condenado-a-prision-por-delito-de-odio-contra-vox/" TargetMode="External"/><Relationship Id="rId430" Type="http://schemas.openxmlformats.org/officeDocument/2006/relationships/hyperlink" Target="https://www.youtube.com/attribution_link?a=FmBn_Kh2jJs&amp;u=%2Fwatch%3Fv%3DWxVrmB5IsVU%26feature%3Dshare" TargetMode="External"/><Relationship Id="rId668" Type="http://schemas.openxmlformats.org/officeDocument/2006/relationships/hyperlink" Target="https://www.elmundo.es/loc/famosos/2018/12/08/5c0a3ffffc6c8320198b45e5.html" TargetMode="External"/><Relationship Id="rId875" Type="http://schemas.openxmlformats.org/officeDocument/2006/relationships/hyperlink" Target="https://casoaislado.com/la-incitacion-al-odio-contra-vox-de-pablo-iglesias-deja-sus-primeras-victimas-dos-afiliados-son-agredidos-en-murcia/" TargetMode="External"/><Relationship Id="rId1060" Type="http://schemas.openxmlformats.org/officeDocument/2006/relationships/hyperlink" Target="https://pbs.twimg.com/media/Dt1k3sGXgAINTnx.jpg" TargetMode="External"/><Relationship Id="rId1298" Type="http://schemas.openxmlformats.org/officeDocument/2006/relationships/hyperlink" Target="https://pbs.twimg.com/media/Dtw8m8oWsAMQBHw.jpg" TargetMode="External"/><Relationship Id="rId2111" Type="http://schemas.openxmlformats.org/officeDocument/2006/relationships/hyperlink" Target="https://pbs.twimg.com/media/DtxSCZsW4AADXVc.jpg" TargetMode="External"/><Relationship Id="rId2349" Type="http://schemas.openxmlformats.org/officeDocument/2006/relationships/hyperlink" Target="https://twitter.com/arturelpayaso2/status/1070703901127651329" TargetMode="External"/><Relationship Id="rId2556" Type="http://schemas.openxmlformats.org/officeDocument/2006/relationships/hyperlink" Target="http://www.pressdigital.es/" TargetMode="External"/><Relationship Id="rId528" Type="http://schemas.openxmlformats.org/officeDocument/2006/relationships/hyperlink" Target="https://www.youtube.com/watch?v=0NEf-m_DIa8" TargetMode="External"/><Relationship Id="rId735" Type="http://schemas.openxmlformats.org/officeDocument/2006/relationships/hyperlink" Target="http://www.americahoy.net/" TargetMode="External"/><Relationship Id="rId942" Type="http://schemas.openxmlformats.org/officeDocument/2006/relationships/hyperlink" Target="http://atres.red/qnnvr1" TargetMode="External"/><Relationship Id="rId1158" Type="http://schemas.openxmlformats.org/officeDocument/2006/relationships/hyperlink" Target="http://www.cndigital.mx/" TargetMode="External"/><Relationship Id="rId1365" Type="http://schemas.openxmlformats.org/officeDocument/2006/relationships/hyperlink" Target="http://www.manuelponte.com/" TargetMode="External"/><Relationship Id="rId1572" Type="http://schemas.openxmlformats.org/officeDocument/2006/relationships/hyperlink" Target="https://www.esdiario.com/amp/781025410/Pablo-Iglesias-se-desespera-al-quedarse-solo-en-su-caceria-al-Rey-Juan-Carlos.html" TargetMode="External"/><Relationship Id="rId2209" Type="http://schemas.openxmlformats.org/officeDocument/2006/relationships/hyperlink" Target="https://pbs.twimg.com/media/DtxBoXRXgAEXAOk.jpg" TargetMode="External"/><Relationship Id="rId2416" Type="http://schemas.openxmlformats.org/officeDocument/2006/relationships/hyperlink" Target="http://pic.twitter.com/sjQdKDqZaB" TargetMode="External"/><Relationship Id="rId1018" Type="http://schemas.openxmlformats.org/officeDocument/2006/relationships/hyperlink" Target="https://www.facebook.com/mogiogabardino/videos/1975339259167846/" TargetMode="External"/><Relationship Id="rId1225" Type="http://schemas.openxmlformats.org/officeDocument/2006/relationships/hyperlink" Target="http://pic.twitter.com/y8GmFXbP40" TargetMode="External"/><Relationship Id="rId1432" Type="http://schemas.openxmlformats.org/officeDocument/2006/relationships/hyperlink" Target="http://youtu.be/3eLKQ-zSPsk?a" TargetMode="External"/><Relationship Id="rId1877" Type="http://schemas.openxmlformats.org/officeDocument/2006/relationships/hyperlink" Target="https://www.elconfidencial.com/espana/2018-12-06/aniversario-constitucion-pablo-iglesias-podemos-rey-juan-carlos_1690826/" TargetMode="External"/><Relationship Id="rId71" Type="http://schemas.openxmlformats.org/officeDocument/2006/relationships/hyperlink" Target="https://twitter.com/intent/tweet?url=http%3A%2F%2Fchng.it%2F8bRKhqwP&amp;text=Ministerio%20de%20Justicia%3A%20Pena%20de%20prisi%C3%B3n%20de%201%20a%204%20a%C3%B1os%20para%20Pablo%20Iglesias%20por%20delito%20de%20Odio%20-%20%C2%A1Firma%20la%20petici%C3%B3n%21&amp;original_referer=https%3A%2F%2Fwww.change.org%2Fp%2Fministerio-de-justicia-pena-de-prisi%25C3%25B3n-de-1-a-4-a%25C3%25B1os-para-pablo-iglesias-por-delito-de-odio%2Fpsf%2Fshare%3Fsource_location%3Dcombo_psf%26psf_variant%3Dcombo%26share_abi%3D1&amp;related=change&amp;via=change_es" TargetMode="External"/><Relationship Id="rId802" Type="http://schemas.openxmlformats.org/officeDocument/2006/relationships/hyperlink" Target="https://twitter.com/Miotroyo2parte/status/1071131909990875136" TargetMode="External"/><Relationship Id="rId1737" Type="http://schemas.openxmlformats.org/officeDocument/2006/relationships/hyperlink" Target="http://pic.twitter.com/OnaDA5q7LV" TargetMode="External"/><Relationship Id="rId1944" Type="http://schemas.openxmlformats.org/officeDocument/2006/relationships/hyperlink" Target="https://pbs.twimg.com/media/Dty4vwQXQAAzOgS.jpg" TargetMode="External"/><Relationship Id="rId29" Type="http://schemas.openxmlformats.org/officeDocument/2006/relationships/hyperlink" Target="https://www.facebook.com/pages/Unidad-Nacional-Espa%C3%B1ola/486217364760580?ref=stream" TargetMode="External"/><Relationship Id="rId178" Type="http://schemas.openxmlformats.org/officeDocument/2006/relationships/hyperlink" Target="https://twitter.com/cristiancrespoj/status/1071201582988124161" TargetMode="External"/><Relationship Id="rId1804" Type="http://schemas.openxmlformats.org/officeDocument/2006/relationships/hyperlink" Target="https://twitter.com/ahorapodemos/status/1070633150353760256" TargetMode="External"/><Relationship Id="rId385" Type="http://schemas.openxmlformats.org/officeDocument/2006/relationships/hyperlink" Target="https://diariopatriota.com/la-extrema-izquierda-comienza-a-agredir-a-los-afiliados-a-vox-dos-personas-resultan-heridas-en-murcia/" TargetMode="External"/><Relationship Id="rId592" Type="http://schemas.openxmlformats.org/officeDocument/2006/relationships/hyperlink" Target="https://www.elmundo.es/baleares/2018/12/07/5c0a31e8fc6c83ee428b45c5.html" TargetMode="External"/><Relationship Id="rId2066" Type="http://schemas.openxmlformats.org/officeDocument/2006/relationships/hyperlink" Target="https://www.mediafire.com/?6kmfocx1yi5p7w1" TargetMode="External"/><Relationship Id="rId2273" Type="http://schemas.openxmlformats.org/officeDocument/2006/relationships/hyperlink" Target="http://youtu.be/ICi8x1lwVD4?a" TargetMode="External"/><Relationship Id="rId2480" Type="http://schemas.openxmlformats.org/officeDocument/2006/relationships/hyperlink" Target="https://twitter.com/DaniPintoB/status/1070765958401277954" TargetMode="External"/><Relationship Id="rId245" Type="http://schemas.openxmlformats.org/officeDocument/2006/relationships/hyperlink" Target="http://www.periodistadigital.com/" TargetMode="External"/><Relationship Id="rId452" Type="http://schemas.openxmlformats.org/officeDocument/2006/relationships/hyperlink" Target="https://okdiario.com/espana/2018/12/07/echenique-llama-torrente-abascal-santiago-segura-pone-sitio-3440190" TargetMode="External"/><Relationship Id="rId897" Type="http://schemas.openxmlformats.org/officeDocument/2006/relationships/hyperlink" Target="https://www.elespanol.com/espana/tribunales/20181207/cgpj-impunidad-ataques-cataluna-proteccion-marlaska-buch/358964968_0.html" TargetMode="External"/><Relationship Id="rId1082" Type="http://schemas.openxmlformats.org/officeDocument/2006/relationships/hyperlink" Target="http://infojovenbcn.wordpress.com/" TargetMode="External"/><Relationship Id="rId2133" Type="http://schemas.openxmlformats.org/officeDocument/2006/relationships/hyperlink" Target="https://youtu.be/JCGOEUOqveQ" TargetMode="External"/><Relationship Id="rId2340" Type="http://schemas.openxmlformats.org/officeDocument/2006/relationships/hyperlink" Target="http://okdiario.com/" TargetMode="External"/><Relationship Id="rId105" Type="http://schemas.openxmlformats.org/officeDocument/2006/relationships/hyperlink" Target="https://pbs.twimg.com/media/Dtkuw5oXcAIO9xZ.jpg" TargetMode="External"/><Relationship Id="rId312" Type="http://schemas.openxmlformats.org/officeDocument/2006/relationships/hyperlink" Target="http://www.que.es/" TargetMode="External"/><Relationship Id="rId757" Type="http://schemas.openxmlformats.org/officeDocument/2006/relationships/hyperlink" Target="https://twitter.com/cristiancrespoj/status/1071201582988124161" TargetMode="External"/><Relationship Id="rId964" Type="http://schemas.openxmlformats.org/officeDocument/2006/relationships/hyperlink" Target="https://gab.com/" TargetMode="External"/><Relationship Id="rId1387" Type="http://schemas.openxmlformats.org/officeDocument/2006/relationships/hyperlink" Target="https://www.elespanol.com/ciencia/ecologia/20170316/201230003_0.html" TargetMode="External"/><Relationship Id="rId1594" Type="http://schemas.openxmlformats.org/officeDocument/2006/relationships/hyperlink" Target="https://pbs.twimg.com/media/Dtz6xvcWsAI9Ser.jpg" TargetMode="External"/><Relationship Id="rId2200" Type="http://schemas.openxmlformats.org/officeDocument/2006/relationships/hyperlink" Target="https://www.facebook.com/chayeva" TargetMode="External"/><Relationship Id="rId2438" Type="http://schemas.openxmlformats.org/officeDocument/2006/relationships/hyperlink" Target="http://ow.ly/HpM730mTrw3" TargetMode="External"/><Relationship Id="rId93" Type="http://schemas.openxmlformats.org/officeDocument/2006/relationships/hyperlink" Target="https://blogs.publico.es/dominiopublico/27340/carta-al-tipo-que-mando-una-carta-a-pablo-iglesias/" TargetMode="External"/><Relationship Id="rId617" Type="http://schemas.openxmlformats.org/officeDocument/2006/relationships/hyperlink" Target="http://www.outono.net/elentir/2018/12/07/el-rey-llamo-a-pablo-iglesias-para-preocuparse-por-sus-hijos-y-asi-se-lo-ha-agradecido-iglesias/" TargetMode="External"/><Relationship Id="rId824" Type="http://schemas.openxmlformats.org/officeDocument/2006/relationships/hyperlink" Target="http://www.outono.net/elentir/2018/12/07/el-rey-llamo-a-pablo-iglesias-para-preocuparse-por-sus-hijos-y-asi-se-lo-ha-agradecido-iglesias/" TargetMode="External"/><Relationship Id="rId1247" Type="http://schemas.openxmlformats.org/officeDocument/2006/relationships/hyperlink" Target="https://twitter.com/numer344/status/1070803382670114816" TargetMode="External"/><Relationship Id="rId1454" Type="http://schemas.openxmlformats.org/officeDocument/2006/relationships/hyperlink" Target="https://eldebate.es/politica-de-estado/las-4-menciones-a-espana-que-podemos-borro-del-discurso-de-pablo-iglesias-tras-el-2-d-20181207?utm_medium=social&amp;utm_source=twitter&amp;utm_campaign=shareweb&amp;utm_content=footer&amp;utm_origin=footer" TargetMode="External"/><Relationship Id="rId1661" Type="http://schemas.openxmlformats.org/officeDocument/2006/relationships/hyperlink" Target="https://twitter.com/indisioux/status/1070804149732806657" TargetMode="External"/><Relationship Id="rId1899" Type="http://schemas.openxmlformats.org/officeDocument/2006/relationships/hyperlink" Target="https://m.europapress.es/nacional/noticia-pablo-iglesias-decreta-alerta-antifascista-llama-movilizacion-contra-postfranquistas-vox-20181202233123.html" TargetMode="External"/><Relationship Id="rId2505" Type="http://schemas.openxmlformats.org/officeDocument/2006/relationships/hyperlink" Target="http://youtu.be/3eLKQ-zSPsk?a" TargetMode="External"/><Relationship Id="rId1107" Type="http://schemas.openxmlformats.org/officeDocument/2006/relationships/hyperlink" Target="http://www.huffingtonpost.es/" TargetMode="External"/><Relationship Id="rId1314" Type="http://schemas.openxmlformats.org/officeDocument/2006/relationships/hyperlink" Target="https://pbs.twimg.com/media/Dt0wWfjW0AAUjS6.jpg" TargetMode="External"/><Relationship Id="rId1521" Type="http://schemas.openxmlformats.org/officeDocument/2006/relationships/hyperlink" Target="http://www.nuevarevolucion.es/" TargetMode="External"/><Relationship Id="rId1759" Type="http://schemas.openxmlformats.org/officeDocument/2006/relationships/hyperlink" Target="https://www.elmundo.es/baleares/2018/12/07/5c0a31e8fc6c83ee428b45c5.html" TargetMode="External"/><Relationship Id="rId1966" Type="http://schemas.openxmlformats.org/officeDocument/2006/relationships/hyperlink" Target="https://www.mediterraneodigital.com/espana/comunidad-de-madrid/pablo-iglesias-me-da-vergueenza-como-espanol-que-exista-vox.html" TargetMode="External"/><Relationship Id="rId1619" Type="http://schemas.openxmlformats.org/officeDocument/2006/relationships/hyperlink" Target="http://sobradosmotivos.com/" TargetMode="External"/><Relationship Id="rId1826" Type="http://schemas.openxmlformats.org/officeDocument/2006/relationships/hyperlink" Target="http://www.contrainformacion.es/" TargetMode="External"/><Relationship Id="rId20" Type="http://schemas.openxmlformats.org/officeDocument/2006/relationships/hyperlink" Target="http://page.is/francisco-flores" TargetMode="External"/><Relationship Id="rId2088" Type="http://schemas.openxmlformats.org/officeDocument/2006/relationships/hyperlink" Target="http://henriettachinaski.blogspot.com.es/" TargetMode="External"/><Relationship Id="rId2295" Type="http://schemas.openxmlformats.org/officeDocument/2006/relationships/hyperlink" Target="http://www.sumarium.es/" TargetMode="External"/><Relationship Id="rId267" Type="http://schemas.openxmlformats.org/officeDocument/2006/relationships/hyperlink" Target="https://pbs.twimg.com/media/Dt5O-8EXgAAoxyb.jpg" TargetMode="External"/><Relationship Id="rId474" Type="http://schemas.openxmlformats.org/officeDocument/2006/relationships/hyperlink" Target="https://casoaislado.com/la-incitacion-al-odio-contra-vox-de-pablo-iglesias-deja-sus-primeras-victimas-dos-afiliados-son-agredidos-en-murcia/" TargetMode="External"/><Relationship Id="rId2155" Type="http://schemas.openxmlformats.org/officeDocument/2006/relationships/hyperlink" Target="https://pbs.twimg.com/media/DtwOJdvW0AAjsCb.jpg" TargetMode="External"/><Relationship Id="rId127" Type="http://schemas.openxmlformats.org/officeDocument/2006/relationships/hyperlink" Target="http://www.despiertainfo.com/2018/12/07/violentos-disturbios-antifascistas-en-cataluna/" TargetMode="External"/><Relationship Id="rId681" Type="http://schemas.openxmlformats.org/officeDocument/2006/relationships/hyperlink" Target="http://www.diarioalcazar.com/2018/12/cuando-pablo-iglesias-apoyaba-javier.html?m=1" TargetMode="External"/><Relationship Id="rId779" Type="http://schemas.openxmlformats.org/officeDocument/2006/relationships/hyperlink" Target="https://www.20minutos.es/noticia/3508831/0/carta-viral-abierta-andaluz-medico-pablo-iglesias-cuando-usted-predica-pobreza-pero-compra-chale-nace-fascista-elecciones-andalucia-2018-podemos-vox/" TargetMode="External"/><Relationship Id="rId986" Type="http://schemas.openxmlformats.org/officeDocument/2006/relationships/hyperlink" Target="http://chng.it/km2Cn5Nz" TargetMode="External"/><Relationship Id="rId2362" Type="http://schemas.openxmlformats.org/officeDocument/2006/relationships/hyperlink" Target="https://www.elconfidencial.com/espana/2018-11-29/amenaza-adelanto-electoral-baja-pablo-iglesias-enero_1671846/?utm_source=twitter&amp;utm_medium=social&amp;utm_campaign=BotoneraWeb" TargetMode="External"/><Relationship Id="rId334" Type="http://schemas.openxmlformats.org/officeDocument/2006/relationships/hyperlink" Target="https://sevilla.abc.es/elecciones/andalucia/sevi-carta-medico-malaga-pablo-iglesias-201812041654_noticia.html" TargetMode="External"/><Relationship Id="rId541" Type="http://schemas.openxmlformats.org/officeDocument/2006/relationships/hyperlink" Target="http://pic.twitter.com/iADKUPm4Iv" TargetMode="External"/><Relationship Id="rId639" Type="http://schemas.openxmlformats.org/officeDocument/2006/relationships/hyperlink" Target="https://twitter.com/Isa_44/status/1071026561078493185" TargetMode="External"/><Relationship Id="rId1171" Type="http://schemas.openxmlformats.org/officeDocument/2006/relationships/hyperlink" Target="https://youtu.be/VvP3CmI39aQ" TargetMode="External"/><Relationship Id="rId1269" Type="http://schemas.openxmlformats.org/officeDocument/2006/relationships/hyperlink" Target="https://www.businessinsider.es/esta-es-receta-que-ayuda-luchar-corrupcion-dentro-empresas-segun-dos-ejecutivas-espanolas-334381?utm_source=Twitter&amp;utm_medium=referral&amp;utm_campaign=Botones_sociales" TargetMode="External"/><Relationship Id="rId1476" Type="http://schemas.openxmlformats.org/officeDocument/2006/relationships/hyperlink" Target="https://www.twitch.tv/demoniumsama" TargetMode="External"/><Relationship Id="rId2015" Type="http://schemas.openxmlformats.org/officeDocument/2006/relationships/hyperlink" Target="https://www.forocoches.com/foro/member.php?u=636856" TargetMode="External"/><Relationship Id="rId2222" Type="http://schemas.openxmlformats.org/officeDocument/2006/relationships/hyperlink" Target="https://pbs.twimg.com/media/Dtw8sVZXgAAp-RI.jpg" TargetMode="External"/><Relationship Id="rId401" Type="http://schemas.openxmlformats.org/officeDocument/2006/relationships/hyperlink" Target="https://www.youtube.com/watch?v=ICi8x1lwVD4" TargetMode="External"/><Relationship Id="rId846" Type="http://schemas.openxmlformats.org/officeDocument/2006/relationships/hyperlink" Target="https://youtu.be/6A3AS5oavA0" TargetMode="External"/><Relationship Id="rId1031" Type="http://schemas.openxmlformats.org/officeDocument/2006/relationships/hyperlink" Target="https://goo.gl/DDX6NF?blv29=6663718296" TargetMode="External"/><Relationship Id="rId1129" Type="http://schemas.openxmlformats.org/officeDocument/2006/relationships/hyperlink" Target="http://www.malostratosfalsos.com/" TargetMode="External"/><Relationship Id="rId1683" Type="http://schemas.openxmlformats.org/officeDocument/2006/relationships/hyperlink" Target="https://twitter.com/HispanoVisigoda/status/1070637285853540352" TargetMode="External"/><Relationship Id="rId1890" Type="http://schemas.openxmlformats.org/officeDocument/2006/relationships/hyperlink" Target="https://twitter.com/martinp39777865/status/1070806928178245632" TargetMode="External"/><Relationship Id="rId1988" Type="http://schemas.openxmlformats.org/officeDocument/2006/relationships/hyperlink" Target="https://pbs.twimg.com/media/DtyKiFdWkAAdJz3.jpg" TargetMode="External"/><Relationship Id="rId2527" Type="http://schemas.openxmlformats.org/officeDocument/2006/relationships/hyperlink" Target="https://twitter.com/Duelelab/status/1070605530081693697?s=19" TargetMode="External"/><Relationship Id="rId706" Type="http://schemas.openxmlformats.org/officeDocument/2006/relationships/hyperlink" Target="https://youtu.be/RQ3Go7fiMCg" TargetMode="External"/><Relationship Id="rId913" Type="http://schemas.openxmlformats.org/officeDocument/2006/relationships/hyperlink" Target="http://danielpintobausela.wordpress.com/" TargetMode="External"/><Relationship Id="rId1336" Type="http://schemas.openxmlformats.org/officeDocument/2006/relationships/hyperlink" Target="https://twitter.com/PhilAMellows/status/1070682488266260481" TargetMode="External"/><Relationship Id="rId1543" Type="http://schemas.openxmlformats.org/officeDocument/2006/relationships/hyperlink" Target="http://pic.twitter.com/G9GRLVizfj" TargetMode="External"/><Relationship Id="rId1750" Type="http://schemas.openxmlformats.org/officeDocument/2006/relationships/hyperlink" Target="http://elrincondeyanka.blogspot.com/" TargetMode="External"/><Relationship Id="rId42" Type="http://schemas.openxmlformats.org/officeDocument/2006/relationships/hyperlink" Target="https://www.elmundo.es/baleares/2018/12/07/5c0a31e8fc6c83ee428b45c5.html" TargetMode="External"/><Relationship Id="rId1403" Type="http://schemas.openxmlformats.org/officeDocument/2006/relationships/hyperlink" Target="https://twitter.com/RIVAS_Llanera/status/1071017610152738817" TargetMode="External"/><Relationship Id="rId1610" Type="http://schemas.openxmlformats.org/officeDocument/2006/relationships/hyperlink" Target="https://www.eldiario.es/_32458238" TargetMode="External"/><Relationship Id="rId1848" Type="http://schemas.openxmlformats.org/officeDocument/2006/relationships/hyperlink" Target="https://ctxt.es/es/20181205/Firmas/23290/vox-fascismo-corden-sanitario-andalucia-nacioanlcatolicismo.htm" TargetMode="External"/><Relationship Id="rId191" Type="http://schemas.openxmlformats.org/officeDocument/2006/relationships/hyperlink" Target="http://www.podemospabloiglesias.com/?page=votante-carta-avalcal&amp;type=actualidad" TargetMode="External"/><Relationship Id="rId1708" Type="http://schemas.openxmlformats.org/officeDocument/2006/relationships/hyperlink" Target="https://contrainformacion.es/iu-y-el-pce-presentan-una-querella-contra-entre-otros-el-rey-emerito-porque-esta-monarquia-no-es-trigo-limpio-aunque-hoy-nos-den-lecciones-de-democracia/" TargetMode="External"/><Relationship Id="rId1915" Type="http://schemas.openxmlformats.org/officeDocument/2006/relationships/hyperlink" Target="https://pbs.twimg.com/media/DtzAFNsXgAEGGmX.jpg" TargetMode="External"/><Relationship Id="rId289" Type="http://schemas.openxmlformats.org/officeDocument/2006/relationships/hyperlink" Target="https://ift.tt/2E9rKOn" TargetMode="External"/><Relationship Id="rId496" Type="http://schemas.openxmlformats.org/officeDocument/2006/relationships/hyperlink" Target="https://www.periodistadigital.com/ocio-y-cultura/gente/2018/12/08/bertin-osborne-hunde-miseria-pablo-iglesias-no-voto-muerto-borracho-vino.shtml" TargetMode="External"/><Relationship Id="rId2177" Type="http://schemas.openxmlformats.org/officeDocument/2006/relationships/hyperlink" Target="http://youtu.be/12Qr1C18reM?a" TargetMode="External"/><Relationship Id="rId2384" Type="http://schemas.openxmlformats.org/officeDocument/2006/relationships/hyperlink" Target="http://paharganda.com/" TargetMode="External"/><Relationship Id="rId149" Type="http://schemas.openxmlformats.org/officeDocument/2006/relationships/hyperlink" Target="https://twitter.com/RamonMateos30/status/1071394949705412609" TargetMode="External"/><Relationship Id="rId356" Type="http://schemas.openxmlformats.org/officeDocument/2006/relationships/hyperlink" Target="https://blogs.publico.es/dominiopublico/27340/carta-al-tipo-que-mando-una-carta-a-pablo-iglesias/" TargetMode="External"/><Relationship Id="rId563" Type="http://schemas.openxmlformats.org/officeDocument/2006/relationships/hyperlink" Target="https://twitter.com/arturelpayaso2/status/1070319016483414021" TargetMode="External"/><Relationship Id="rId770" Type="http://schemas.openxmlformats.org/officeDocument/2006/relationships/hyperlink" Target="http://www.outono.net/elentir/2018/12/07/el-rey-llamo-a-pablo-iglesias-para-preocuparse-por-sus-hijos-y-asi-se-lo-ha-agradecido-iglesias/" TargetMode="External"/><Relationship Id="rId1193" Type="http://schemas.openxmlformats.org/officeDocument/2006/relationships/hyperlink" Target="https://pbs.twimg.com/media/Dtu9oZpXcAAAUZi.jpg" TargetMode="External"/><Relationship Id="rId2037" Type="http://schemas.openxmlformats.org/officeDocument/2006/relationships/hyperlink" Target="https://www.heraldo.es/noticias/nacional/2018/12/04/la-carta-andaluz-pablo-iglesias-que-explica-por-que-pueblo-pasado-horas-rojo-facha-1281147-305.html" TargetMode="External"/><Relationship Id="rId2244" Type="http://schemas.openxmlformats.org/officeDocument/2006/relationships/hyperlink" Target="https://sevilla.abc.es/elecciones/andalucia/sevi-carta-medico-malaga-pablo-iglesias-201812041654_noticia.html" TargetMode="External"/><Relationship Id="rId2451" Type="http://schemas.openxmlformats.org/officeDocument/2006/relationships/hyperlink" Target="https://pbs.twimg.com/media/DtwkoF5WoAAmiWd.jpg" TargetMode="External"/><Relationship Id="rId216" Type="http://schemas.openxmlformats.org/officeDocument/2006/relationships/hyperlink" Target="http://www.outono.net/elentir/2014/11/12/pablo-iglesias-reconoce-que-se-ha-dejado-usar-por-iran-para-desestabilizar-espana/" TargetMode="External"/><Relationship Id="rId423" Type="http://schemas.openxmlformats.org/officeDocument/2006/relationships/hyperlink" Target="https://pbs.twimg.com/media/Dt4w-vVWoAAk7bZ.jpg" TargetMode="External"/><Relationship Id="rId868" Type="http://schemas.openxmlformats.org/officeDocument/2006/relationships/hyperlink" Target="https://pbs.twimg.com/media/Dt1xLvbXQAABU0C.jpg" TargetMode="External"/><Relationship Id="rId1053" Type="http://schemas.openxmlformats.org/officeDocument/2006/relationships/hyperlink" Target="https://goo.gl/aW4iWp?fji84=594333496" TargetMode="External"/><Relationship Id="rId1260" Type="http://schemas.openxmlformats.org/officeDocument/2006/relationships/hyperlink" Target="https://twitter.com/miquinta1/status/1071018385784406017" TargetMode="External"/><Relationship Id="rId1498" Type="http://schemas.openxmlformats.org/officeDocument/2006/relationships/hyperlink" Target="https://twitter.com/bcnisnotcat_/status/1070801745968852992" TargetMode="External"/><Relationship Id="rId2104" Type="http://schemas.openxmlformats.org/officeDocument/2006/relationships/hyperlink" Target="https://twitter.com/ahorapodemos/status/1070746451364495360" TargetMode="External"/><Relationship Id="rId2549" Type="http://schemas.openxmlformats.org/officeDocument/2006/relationships/hyperlink" Target="https://youtu.be/thuEk8afDjc" TargetMode="External"/><Relationship Id="rId630" Type="http://schemas.openxmlformats.org/officeDocument/2006/relationships/hyperlink" Target="http://www.outono.net/elentir/2018/12/07/el-rey-llamo-a-pablo-iglesias-para-preocuparse-por-sus-hijos-y-asi-se-lo-ha-agradecido-iglesias/" TargetMode="External"/><Relationship Id="rId728" Type="http://schemas.openxmlformats.org/officeDocument/2006/relationships/hyperlink" Target="http://dlvr.it/Qt6JL2" TargetMode="External"/><Relationship Id="rId935" Type="http://schemas.openxmlformats.org/officeDocument/2006/relationships/hyperlink" Target="https://pbs.twimg.com/media/Dt1WEQ5W4AY9kWP.jpg" TargetMode="External"/><Relationship Id="rId1358" Type="http://schemas.openxmlformats.org/officeDocument/2006/relationships/hyperlink" Target="https://www.elespanol.com/opinion/columnas/20181207/constitucion-quiere-podemos/358844117_13.amp.html?__twitter_impression=true" TargetMode="External"/><Relationship Id="rId1565" Type="http://schemas.openxmlformats.org/officeDocument/2006/relationships/hyperlink" Target="https://pbs.twimg.com/media/Dt0AqiqXQAAErfd.jpg" TargetMode="External"/><Relationship Id="rId1772" Type="http://schemas.openxmlformats.org/officeDocument/2006/relationships/hyperlink" Target="https://www.esdiario.com/781025410/Pablo-Iglesias-se-desespera-al-quedarse-solo-en-su-caceria-al-Rey-Juan-Carlos.html" TargetMode="External"/><Relationship Id="rId2311" Type="http://schemas.openxmlformats.org/officeDocument/2006/relationships/hyperlink" Target="https://www.elconfidencial.com/espana/2018-12-06/aniversario-constitucion-pablo-iglesias-podemos-rey-juan-carlos_1690826/?utm_source=facebook&amp;utm_medium=social&amp;utm_campaign=ECDiarioManual" TargetMode="External"/><Relationship Id="rId2409" Type="http://schemas.openxmlformats.org/officeDocument/2006/relationships/hyperlink" Target="https://pbs.twimg.com/media/DtwobRaWsAAKEJ2.jpg" TargetMode="External"/><Relationship Id="rId64" Type="http://schemas.openxmlformats.org/officeDocument/2006/relationships/hyperlink" Target="https://pbs.twimg.com/media/Dt57LD9WwAA33Kj.jpg" TargetMode="External"/><Relationship Id="rId1120" Type="http://schemas.openxmlformats.org/officeDocument/2006/relationships/hyperlink" Target="https://contrainformacion.es/iu-y-el-pce-presentan-una-querella-contra-entre-otros-el-rey-emerito-porque-esta-monarquia-no-es-trigo-limpio-aunque-hoy-nos-den-lecciones-de-democracia/" TargetMode="External"/><Relationship Id="rId1218" Type="http://schemas.openxmlformats.org/officeDocument/2006/relationships/hyperlink" Target="https://twitter.com/willycochez/status/1071090715038502915" TargetMode="External"/><Relationship Id="rId1425" Type="http://schemas.openxmlformats.org/officeDocument/2006/relationships/hyperlink" Target="http://lafamiliadedios.wordpress.com/" TargetMode="External"/><Relationship Id="rId1632" Type="http://schemas.openxmlformats.org/officeDocument/2006/relationships/hyperlink" Target="http://cocinasingluten.info/" TargetMode="External"/><Relationship Id="rId1937" Type="http://schemas.openxmlformats.org/officeDocument/2006/relationships/hyperlink" Target="https://www.eldiario.es/_32458238" TargetMode="External"/><Relationship Id="rId2199" Type="http://schemas.openxmlformats.org/officeDocument/2006/relationships/hyperlink" Target="https://www.cope.es/actualidad/espana/noticias/pablo-iglesias-saluda-los-reyes-pide-republica-20181206_305899" TargetMode="External"/><Relationship Id="rId280" Type="http://schemas.openxmlformats.org/officeDocument/2006/relationships/hyperlink" Target="https://youtu.be/h3UPSVtuGhQ" TargetMode="External"/><Relationship Id="rId140" Type="http://schemas.openxmlformats.org/officeDocument/2006/relationships/hyperlink" Target="https://twitter.com/mimariban/status/1071353372605890560" TargetMode="External"/><Relationship Id="rId378" Type="http://schemas.openxmlformats.org/officeDocument/2006/relationships/hyperlink" Target="https://www.20minutos.es/noticia/3508831/0/carta-viral-abierta-andaluz-medico-pablo-iglesias-cuando-usted-predica-pobreza-pero-compra-chale-nace-fascista-elecciones-andalucia-2018-podemos-vox/?utm_source=twitter.com&amp;utm_medium=socialshare&amp;utm_campaign=desktop" TargetMode="External"/><Relationship Id="rId585" Type="http://schemas.openxmlformats.org/officeDocument/2006/relationships/hyperlink" Target="https://twitter.com/morenog_agustin/status/1071132248479535107" TargetMode="External"/><Relationship Id="rId792" Type="http://schemas.openxmlformats.org/officeDocument/2006/relationships/hyperlink" Target="https://www.youtube.com/watch?v=IZfcG0rPxrs" TargetMode="External"/><Relationship Id="rId2059" Type="http://schemas.openxmlformats.org/officeDocument/2006/relationships/hyperlink" Target="http://bit.ly/2KXHrcO" TargetMode="External"/><Relationship Id="rId2266" Type="http://schemas.openxmlformats.org/officeDocument/2006/relationships/hyperlink" Target="http://liverdades.com/" TargetMode="External"/><Relationship Id="rId2473" Type="http://schemas.openxmlformats.org/officeDocument/2006/relationships/hyperlink" Target="https://pbs.twimg.com/media/DtwQaRsWsAgEI0O.jpg" TargetMode="External"/><Relationship Id="rId6" Type="http://schemas.openxmlformats.org/officeDocument/2006/relationships/hyperlink" Target="https://blogs.publico.es/dominiopublico/27340/carta-al-tipo-que-mando-una-carta-a-pablo-iglesias/" TargetMode="External"/><Relationship Id="rId238" Type="http://schemas.openxmlformats.org/officeDocument/2006/relationships/hyperlink" Target="http://soniagigu.blogspot.com/" TargetMode="External"/><Relationship Id="rId445" Type="http://schemas.openxmlformats.org/officeDocument/2006/relationships/hyperlink" Target="http://www.larazon.es/" TargetMode="External"/><Relationship Id="rId652" Type="http://schemas.openxmlformats.org/officeDocument/2006/relationships/hyperlink" Target="https://twitter.com/nizmycuba/status/1045585315694555136" TargetMode="External"/><Relationship Id="rId1075" Type="http://schemas.openxmlformats.org/officeDocument/2006/relationships/hyperlink" Target="http://pic.twitter.com/xmf6ZsY6lK" TargetMode="External"/><Relationship Id="rId1282" Type="http://schemas.openxmlformats.org/officeDocument/2006/relationships/hyperlink" Target="https://open.spotify.com/album/3FKanDYH2t4tTXehlH9k11" TargetMode="External"/><Relationship Id="rId2126" Type="http://schemas.openxmlformats.org/officeDocument/2006/relationships/hyperlink" Target="http://pic.twitter.com/20yF6WPkHy" TargetMode="External"/><Relationship Id="rId2333" Type="http://schemas.openxmlformats.org/officeDocument/2006/relationships/hyperlink" Target="http://pic.twitter.com/fhzkQxntMd" TargetMode="External"/><Relationship Id="rId2540" Type="http://schemas.openxmlformats.org/officeDocument/2006/relationships/hyperlink" Target="https://pbs.twimg.com/media/DtwaKMMWwAAExB7.jpg" TargetMode="External"/><Relationship Id="rId305" Type="http://schemas.openxmlformats.org/officeDocument/2006/relationships/hyperlink" Target="https://pbs.twimg.com/media/DtumWquWwAE07nM.jpg" TargetMode="External"/><Relationship Id="rId512" Type="http://schemas.openxmlformats.org/officeDocument/2006/relationships/hyperlink" Target="https://www.periodistadigital.com/ocio-y-cultura/gente/2018/12/08/bertin-osborne-hunde-miseria-pablo-iglesias-no-voto-muerto-borracho-vino.shtml" TargetMode="External"/><Relationship Id="rId957" Type="http://schemas.openxmlformats.org/officeDocument/2006/relationships/hyperlink" Target="https://twitter.com/mazzinguerzett1/status/1070778974022840320" TargetMode="External"/><Relationship Id="rId1142" Type="http://schemas.openxmlformats.org/officeDocument/2006/relationships/hyperlink" Target="https://pbs.twimg.com/media/Dt1VJ6PXQAA6wvC.jpg" TargetMode="External"/><Relationship Id="rId1587" Type="http://schemas.openxmlformats.org/officeDocument/2006/relationships/hyperlink" Target="http://pic.twitter.com/zqqbAcdDZO" TargetMode="External"/><Relationship Id="rId1794" Type="http://schemas.openxmlformats.org/officeDocument/2006/relationships/hyperlink" Target="https://pbs.twimg.com/media/DtzWXyLWoAEQ5PM.jpg" TargetMode="External"/><Relationship Id="rId2400" Type="http://schemas.openxmlformats.org/officeDocument/2006/relationships/hyperlink" Target="https://pbs.twimg.com/media/DtwpcM6X4AEubrU.jpg" TargetMode="External"/><Relationship Id="rId86" Type="http://schemas.openxmlformats.org/officeDocument/2006/relationships/hyperlink" Target="https://www.marca.com/tiramillas/actualidad/2018/12/08/5c0bb52022601dd0208b465d.html?utm_source=dlvr.it&amp;utm_medium=twitter" TargetMode="External"/><Relationship Id="rId817" Type="http://schemas.openxmlformats.org/officeDocument/2006/relationships/hyperlink" Target="https://www.cerodosbe.com/es/destinos/la-absurda-razon-por-la-que-amsterdam-elimina-las-letras-mas-famosas_592949_102.html" TargetMode="External"/><Relationship Id="rId1002" Type="http://schemas.openxmlformats.org/officeDocument/2006/relationships/hyperlink" Target="http://www.elentir.info/" TargetMode="External"/><Relationship Id="rId1447" Type="http://schemas.openxmlformats.org/officeDocument/2006/relationships/hyperlink" Target="https://twitter.com/logiccost/status/1070721079025508353" TargetMode="External"/><Relationship Id="rId1654" Type="http://schemas.openxmlformats.org/officeDocument/2006/relationships/hyperlink" Target="http://ramonmartinezpiqueres.blogspot.com/" TargetMode="External"/><Relationship Id="rId1861" Type="http://schemas.openxmlformats.org/officeDocument/2006/relationships/hyperlink" Target="https://pbs.twimg.com/media/Dty6j8jW4AAMjXe.jpg" TargetMode="External"/><Relationship Id="rId1307" Type="http://schemas.openxmlformats.org/officeDocument/2006/relationships/hyperlink" Target="https://go.shr.lc/2Qm8YLe" TargetMode="External"/><Relationship Id="rId1514" Type="http://schemas.openxmlformats.org/officeDocument/2006/relationships/hyperlink" Target="https://eldebate.es/" TargetMode="External"/><Relationship Id="rId1721" Type="http://schemas.openxmlformats.org/officeDocument/2006/relationships/hyperlink" Target="https://pbs.twimg.com/media/Dtzhs33W4AEH8Po.jpg" TargetMode="External"/><Relationship Id="rId1959" Type="http://schemas.openxmlformats.org/officeDocument/2006/relationships/hyperlink" Target="https://www.esdiario.com/781025410/Pablo-Iglesias-se-desespera-al-quedarse-solo-en-su-caceria-al-Rey-Juan-Carlos.html" TargetMode="External"/><Relationship Id="rId13" Type="http://schemas.openxmlformats.org/officeDocument/2006/relationships/hyperlink" Target="http://chng.it/w5bXNVbd" TargetMode="External"/><Relationship Id="rId1819" Type="http://schemas.openxmlformats.org/officeDocument/2006/relationships/hyperlink" Target="http://www.agnio.es/" TargetMode="External"/><Relationship Id="rId2190" Type="http://schemas.openxmlformats.org/officeDocument/2006/relationships/hyperlink" Target="http://www.sumarium.es/" TargetMode="External"/><Relationship Id="rId2288" Type="http://schemas.openxmlformats.org/officeDocument/2006/relationships/hyperlink" Target="http://clasedelengua.webnode.es/" TargetMode="External"/><Relationship Id="rId2495" Type="http://schemas.openxmlformats.org/officeDocument/2006/relationships/hyperlink" Target="https://pbs.twimg.com/media/DtwdzT8XgAIru9s.jpg" TargetMode="External"/><Relationship Id="rId162" Type="http://schemas.openxmlformats.org/officeDocument/2006/relationships/hyperlink" Target="http://chng.it/R5dkC54W" TargetMode="External"/><Relationship Id="rId467" Type="http://schemas.openxmlformats.org/officeDocument/2006/relationships/hyperlink" Target="http://chng.it/BqLFgqPt" TargetMode="External"/><Relationship Id="rId1097" Type="http://schemas.openxmlformats.org/officeDocument/2006/relationships/hyperlink" Target="https://www.facebook.com/lizarradj/posts/10215982965540597" TargetMode="External"/><Relationship Id="rId2050" Type="http://schemas.openxmlformats.org/officeDocument/2006/relationships/hyperlink" Target="http://www.dondequedealgunaflordondenohayapolicia.com/" TargetMode="External"/><Relationship Id="rId2148" Type="http://schemas.openxmlformats.org/officeDocument/2006/relationships/hyperlink" Target="https://www.libertaddigital.com/espana/politica/2018-12-06/podemos-ni-saluda-ni-aplaude-al-rey-1276629482/" TargetMode="External"/><Relationship Id="rId674" Type="http://schemas.openxmlformats.org/officeDocument/2006/relationships/hyperlink" Target="http://oscarjugon.blogspot.com/" TargetMode="External"/><Relationship Id="rId881" Type="http://schemas.openxmlformats.org/officeDocument/2006/relationships/hyperlink" Target="https://www.que.es/listas/asi-es-el-belen-que-incluye-desde-el-chalet-de-pablo-iglesias-a-susana-diaz-o-concursantes-de-ot.html" TargetMode="External"/><Relationship Id="rId979" Type="http://schemas.openxmlformats.org/officeDocument/2006/relationships/hyperlink" Target="http://taxation.is/" TargetMode="External"/><Relationship Id="rId2355" Type="http://schemas.openxmlformats.org/officeDocument/2006/relationships/hyperlink" Target="https://bit.ly/2KXHrcO" TargetMode="External"/><Relationship Id="rId2562" Type="http://schemas.openxmlformats.org/officeDocument/2006/relationships/hyperlink" Target="http://eleconomista.es/autor/Laura-Cruz-Berlin" TargetMode="External"/><Relationship Id="rId327" Type="http://schemas.openxmlformats.org/officeDocument/2006/relationships/hyperlink" Target="http://www.ramblalibre.com/" TargetMode="External"/><Relationship Id="rId534" Type="http://schemas.openxmlformats.org/officeDocument/2006/relationships/hyperlink" Target="http://podemosronda.com/" TargetMode="External"/><Relationship Id="rId741" Type="http://schemas.openxmlformats.org/officeDocument/2006/relationships/hyperlink" Target="http://lafamiliadedios.wordpress.com/" TargetMode="External"/><Relationship Id="rId839" Type="http://schemas.openxmlformats.org/officeDocument/2006/relationships/hyperlink" Target="https://twitter.com/Miotroyo2parte/status/1071131909990875136" TargetMode="External"/><Relationship Id="rId1164" Type="http://schemas.openxmlformats.org/officeDocument/2006/relationships/hyperlink" Target="https://efinetika.wordpress.com/2014/07/25/rd-2162014-la-energia-que-se-pierde-por-el-camino-y-que-nos-cobran-sube/" TargetMode="External"/><Relationship Id="rId1371" Type="http://schemas.openxmlformats.org/officeDocument/2006/relationships/hyperlink" Target="https://pbs.twimg.com/media/Dt0h03pXcAISrUj.jpg" TargetMode="External"/><Relationship Id="rId1469" Type="http://schemas.openxmlformats.org/officeDocument/2006/relationships/hyperlink" Target="https://pbs.twimg.com/media/Dt0PhviXQAA2PPx.jpg" TargetMode="External"/><Relationship Id="rId2008" Type="http://schemas.openxmlformats.org/officeDocument/2006/relationships/hyperlink" Target="https://wp.me/p26M0z-Ep6--" TargetMode="External"/><Relationship Id="rId2215" Type="http://schemas.openxmlformats.org/officeDocument/2006/relationships/hyperlink" Target="https://pbs.twimg.com/media/DtxAStxWkAAT8F3.jpg" TargetMode="External"/><Relationship Id="rId2422" Type="http://schemas.openxmlformats.org/officeDocument/2006/relationships/hyperlink" Target="https://pbs.twimg.com/media/DtwnrDkW4AE6-L3.jpg" TargetMode="External"/><Relationship Id="rId601" Type="http://schemas.openxmlformats.org/officeDocument/2006/relationships/hyperlink" Target="https://www.periodistadigital.com/ocio-y-cultura/gente/2018/12/08/bertin-osborne-hunde-miseria-pablo-iglesias-no-voto-muerto-borracho-vino.shtml" TargetMode="External"/><Relationship Id="rId1024" Type="http://schemas.openxmlformats.org/officeDocument/2006/relationships/hyperlink" Target="http://pic.twitter.com/vWlRvWV6Mw" TargetMode="External"/><Relationship Id="rId1231" Type="http://schemas.openxmlformats.org/officeDocument/2006/relationships/hyperlink" Target="https://pbs.twimg.com/media/Dtzv4CuXcAA5HMu.jpg" TargetMode="External"/><Relationship Id="rId1676" Type="http://schemas.openxmlformats.org/officeDocument/2006/relationships/hyperlink" Target="https://www.esdiario.com/781025410/Pablo-Iglesias-se-desespera-al-quedarse-solo-en-su-caceria-al-Rey-Juan-Carlos.html" TargetMode="External"/><Relationship Id="rId1883" Type="http://schemas.openxmlformats.org/officeDocument/2006/relationships/hyperlink" Target="http://www.bitmomentum.com/" TargetMode="External"/><Relationship Id="rId906" Type="http://schemas.openxmlformats.org/officeDocument/2006/relationships/hyperlink" Target="https://pbs.twimg.com/media/Dt2CbvoW4AE88N_.jpg" TargetMode="External"/><Relationship Id="rId1329" Type="http://schemas.openxmlformats.org/officeDocument/2006/relationships/hyperlink" Target="https://www.elcorreodemadrid.com/nacional/184261637/Zasca-de-Abascal-a-Iglesias-La-Monarquia-sirve-para-que-alguien-como-tu-no-sea-presidente.html" TargetMode="External"/><Relationship Id="rId1536" Type="http://schemas.openxmlformats.org/officeDocument/2006/relationships/hyperlink" Target="https://twitter.com/indisioux/status/1070804149732806657" TargetMode="External"/><Relationship Id="rId1743" Type="http://schemas.openxmlformats.org/officeDocument/2006/relationships/hyperlink" Target="https://twitter.com/Pablito_Pablera/status/1070823282713206784" TargetMode="External"/><Relationship Id="rId1950" Type="http://schemas.openxmlformats.org/officeDocument/2006/relationships/hyperlink" Target="https://www.esdiario.com/483221721/Errejon-apunala-a-Iglesias-y-critica-su-alerta-antifascista-Mas-autocritica.html" TargetMode="External"/><Relationship Id="rId35" Type="http://schemas.openxmlformats.org/officeDocument/2006/relationships/hyperlink" Target="http://www.outono.net/elentir/2018/12/07/el-rey-llamo-a-pablo-iglesias-para-preocuparse-por-sus-hijos-y-asi-se-lo-ha-agradecido-iglesias/" TargetMode="External"/><Relationship Id="rId1603" Type="http://schemas.openxmlformats.org/officeDocument/2006/relationships/hyperlink" Target="http://luisangelaguilar.blogspot.com/" TargetMode="External"/><Relationship Id="rId1810" Type="http://schemas.openxmlformats.org/officeDocument/2006/relationships/hyperlink" Target="https://www.google.es/amp/s/www.elconfidencial.com/amp/elecciones-andalucia/2018-11-28/marinaleda-sanchez-gordillo-hundimiento-utopia-comunista_1671666/" TargetMode="External"/><Relationship Id="rId184" Type="http://schemas.openxmlformats.org/officeDocument/2006/relationships/hyperlink" Target="https://niebladebrandoni.blogspot.com.es/?m=1" TargetMode="External"/><Relationship Id="rId391" Type="http://schemas.openxmlformats.org/officeDocument/2006/relationships/hyperlink" Target="https://casoaislado.com/la-incitacion-al-odio-contra-vox-de-pablo-iglesias-deja-sus-primeras-victimas-dos-afiliados-son-agredidos-en-murcia/" TargetMode="External"/><Relationship Id="rId1908" Type="http://schemas.openxmlformats.org/officeDocument/2006/relationships/hyperlink" Target="https://goo.gl/LgNNqq?pls71=4818229278" TargetMode="External"/><Relationship Id="rId2072" Type="http://schemas.openxmlformats.org/officeDocument/2006/relationships/hyperlink" Target="https://okdiario.com/espana/2018/12/05/iglesias-plantea-ciudadanos-que-ponga-encima-mesa-acuerdo-andalucia-3430367/amp" TargetMode="External"/><Relationship Id="rId251" Type="http://schemas.openxmlformats.org/officeDocument/2006/relationships/hyperlink" Target="https://youtu.be/PZ0LF0hPA9s" TargetMode="External"/><Relationship Id="rId489" Type="http://schemas.openxmlformats.org/officeDocument/2006/relationships/hyperlink" Target="http://www.larazon.es/" TargetMode="External"/><Relationship Id="rId696" Type="http://schemas.openxmlformats.org/officeDocument/2006/relationships/hyperlink" Target="http://www.elmundo.es/" TargetMode="External"/><Relationship Id="rId2377" Type="http://schemas.openxmlformats.org/officeDocument/2006/relationships/hyperlink" Target="https://pbs.twimg.com/media/DtwtV_fX4AUPtuz.jpg" TargetMode="External"/><Relationship Id="rId349" Type="http://schemas.openxmlformats.org/officeDocument/2006/relationships/hyperlink" Target="https://amp.elmundo.es/madrid/2018/12/08/5c0b799821efa0d45b8b45ff.html" TargetMode="External"/><Relationship Id="rId556" Type="http://schemas.openxmlformats.org/officeDocument/2006/relationships/hyperlink" Target="https://www.facebook.com/profile.php?id=100011075051553" TargetMode="External"/><Relationship Id="rId763" Type="http://schemas.openxmlformats.org/officeDocument/2006/relationships/hyperlink" Target="https://www.facebook.com/AgruSocialistaPalmaPalmilla/?modal=admin_todo_tour" TargetMode="External"/><Relationship Id="rId1186" Type="http://schemas.openxmlformats.org/officeDocument/2006/relationships/hyperlink" Target="http://chng.it/Xs6dnCmY" TargetMode="External"/><Relationship Id="rId1393" Type="http://schemas.openxmlformats.org/officeDocument/2006/relationships/hyperlink" Target="https://twitter.com/JavierCenit/status/1067373399809376257" TargetMode="External"/><Relationship Id="rId2237" Type="http://schemas.openxmlformats.org/officeDocument/2006/relationships/hyperlink" Target="http://copiajuridica.es/2018/12/06/podemos-hace-el-ridiculo-mas-espantoso-con-su-emblema-republicano-es-una-copia-de-un-logo-de-peluqueria" TargetMode="External"/><Relationship Id="rId2444" Type="http://schemas.openxmlformats.org/officeDocument/2006/relationships/hyperlink" Target="https://pbs.twimg.com/media/DtwmR2gXQAEy2wh.jpg" TargetMode="External"/><Relationship Id="rId111" Type="http://schemas.openxmlformats.org/officeDocument/2006/relationships/hyperlink" Target="https://pbs.twimg.com/media/DtvnUW5WsAE5K1s.jpg" TargetMode="External"/><Relationship Id="rId209" Type="http://schemas.openxmlformats.org/officeDocument/2006/relationships/hyperlink" Target="https://instagram.com/ratonzitaspain/" TargetMode="External"/><Relationship Id="rId416" Type="http://schemas.openxmlformats.org/officeDocument/2006/relationships/hyperlink" Target="https://twitter.com/progrestona/status/1071347664422342661" TargetMode="External"/><Relationship Id="rId970" Type="http://schemas.openxmlformats.org/officeDocument/2006/relationships/hyperlink" Target="https://twitter.com/perezreverte/status/1071045025642020869" TargetMode="External"/><Relationship Id="rId1046" Type="http://schemas.openxmlformats.org/officeDocument/2006/relationships/hyperlink" Target="https://www.libertaddigital.com/espana/2018-12-07/vox-denuncia-una-agresion-a-dos-de-sus-afiliados-en-lorca-murcia-1276629559/" TargetMode="External"/><Relationship Id="rId1253" Type="http://schemas.openxmlformats.org/officeDocument/2006/relationships/hyperlink" Target="https://pbs.twimg.com/media/Dt0--aUXcAEonlF.jpg" TargetMode="External"/><Relationship Id="rId1698" Type="http://schemas.openxmlformats.org/officeDocument/2006/relationships/hyperlink" Target="http://franciscogarrobo.cat/" TargetMode="External"/><Relationship Id="rId623" Type="http://schemas.openxmlformats.org/officeDocument/2006/relationships/hyperlink" Target="http://merianmi.wordpress.com/" TargetMode="External"/><Relationship Id="rId830" Type="http://schemas.openxmlformats.org/officeDocument/2006/relationships/hyperlink" Target="http://www.outono.net/elentir/2018/12/07/el-rey-llamo-a-pablo-iglesias-para-preocuparse-por-sus-hijos-y-asi-se-lo-ha-agradecido-iglesias/" TargetMode="External"/><Relationship Id="rId928" Type="http://schemas.openxmlformats.org/officeDocument/2006/relationships/hyperlink" Target="https://www.elmatinal.com/actualidad/piden-la-detencion-de-pablo-iglesias-por-ser-el-promotor-de-las-violentas-manifestaciones-contra-vox-en-andalucia/" TargetMode="External"/><Relationship Id="rId1460" Type="http://schemas.openxmlformats.org/officeDocument/2006/relationships/hyperlink" Target="http://www.antonimanchado.com/" TargetMode="External"/><Relationship Id="rId1558" Type="http://schemas.openxmlformats.org/officeDocument/2006/relationships/hyperlink" Target="http://podemos.info/" TargetMode="External"/><Relationship Id="rId1765" Type="http://schemas.openxmlformats.org/officeDocument/2006/relationships/hyperlink" Target="http://alfilodelanavajadetaramundi.blogspot.com/" TargetMode="External"/><Relationship Id="rId2304" Type="http://schemas.openxmlformats.org/officeDocument/2006/relationships/hyperlink" Target="https://blogs.elconfidencial.com/espana/matacan/2018-12-06/aniversario-constitucion-espana-envidiada-ignorada_1689718/?utm_campaign=BotoneraWebapp&amp;utm_source=twitter&amp;utm_medium=social" TargetMode="External"/><Relationship Id="rId2511" Type="http://schemas.openxmlformats.org/officeDocument/2006/relationships/hyperlink" Target="https://pbs.twimg.com/media/Dtwcp5FXgAAWKfi.jpg" TargetMode="External"/><Relationship Id="rId57" Type="http://schemas.openxmlformats.org/officeDocument/2006/relationships/hyperlink" Target="https://www.periodistadigital.com/opinion/cartas-al-director/2018/12/08/carta-abierta-de-santiago-abascal-a-pablo-iglesias-lo-tienes-crudo.shtml" TargetMode="External"/><Relationship Id="rId1113" Type="http://schemas.openxmlformats.org/officeDocument/2006/relationships/hyperlink" Target="http://pic.twitter.com/DIMjapOq7P" TargetMode="External"/><Relationship Id="rId1320" Type="http://schemas.openxmlformats.org/officeDocument/2006/relationships/hyperlink" Target="https://contrainformacion.es/iu-y-el-pce-presentan-una-querella-contra-entre-otros-el-rey-emerito-porque-esta-monarquia-no-es-trigo-limpio-aunque-hoy-nos-den-lecciones-de-democracia/" TargetMode="External"/><Relationship Id="rId1418" Type="http://schemas.openxmlformats.org/officeDocument/2006/relationships/hyperlink" Target="http://youtu.be/Msk5PBxuCgE?a" TargetMode="External"/><Relationship Id="rId1972" Type="http://schemas.openxmlformats.org/officeDocument/2006/relationships/hyperlink" Target="https://twitter.com/popysupersayan/status/1070704172956303360" TargetMode="External"/><Relationship Id="rId1625" Type="http://schemas.openxmlformats.org/officeDocument/2006/relationships/hyperlink" Target="https://pbs.twimg.com/media/Dtz2lV2W0AENXKi.jpg" TargetMode="External"/><Relationship Id="rId1832" Type="http://schemas.openxmlformats.org/officeDocument/2006/relationships/hyperlink" Target="https://diariopatriota.com/un-medico-malagueno-vapulea-a-pablo-iglesias-en-una-carta-abierta-busca-a-los-fascistas-en-las-propias-sedes-de-podemos/" TargetMode="External"/><Relationship Id="rId2094" Type="http://schemas.openxmlformats.org/officeDocument/2006/relationships/hyperlink" Target="http://pic.twitter.com/RQ24059gzP" TargetMode="External"/><Relationship Id="rId273" Type="http://schemas.openxmlformats.org/officeDocument/2006/relationships/hyperlink" Target="https://okdiario.com/espana/2018/12/07/iglesias-da-razon-abascal-derecho-portar-armas-bases-democracia-3438627/amp?__twitter_impression=true" TargetMode="External"/><Relationship Id="rId480" Type="http://schemas.openxmlformats.org/officeDocument/2006/relationships/hyperlink" Target="https://www.huffingtonpost.es/2018/12/07/el-dardo-de-bertin-osborne-a-gabriel-rufian-y-pablo-iglesias-espana-es-el-pais-con-mas-politicos-idiotas-por-metro-cuadrado_a_23611885/?utm_hp_ref=es-homepage" TargetMode="External"/><Relationship Id="rId2161" Type="http://schemas.openxmlformats.org/officeDocument/2006/relationships/hyperlink" Target="https://okdiario.com/espana/2018/11/15/gonzalez-sobre-fuerza-iglesias-gobierno-si-fuera-presidente-no-gustaria-3353625" TargetMode="External"/><Relationship Id="rId2399" Type="http://schemas.openxmlformats.org/officeDocument/2006/relationships/hyperlink" Target="https://pbs.twimg.com/media/DtwqZS_U8AAfAvK.jpg" TargetMode="External"/><Relationship Id="rId133" Type="http://schemas.openxmlformats.org/officeDocument/2006/relationships/hyperlink" Target="https://contrainformacion.es/iu-y-el-pce-presentan-una-querella-contra-entre-otros-el-rey-emerito-porque-esta-monarquia-no-es-trigo-limpio-aunque-hoy-nos-den-lecciones-de-democracia/" TargetMode="External"/><Relationship Id="rId340" Type="http://schemas.openxmlformats.org/officeDocument/2006/relationships/hyperlink" Target="http://www.ramblalibre.com/" TargetMode="External"/><Relationship Id="rId578" Type="http://schemas.openxmlformats.org/officeDocument/2006/relationships/hyperlink" Target="http://paper.li/lobo_solito/1343408781" TargetMode="External"/><Relationship Id="rId785" Type="http://schemas.openxmlformats.org/officeDocument/2006/relationships/hyperlink" Target="https://twitter.com/Carola2hope/status/1071127505627541504" TargetMode="External"/><Relationship Id="rId992" Type="http://schemas.openxmlformats.org/officeDocument/2006/relationships/hyperlink" Target="http://www.losotros18.com/liga-bbva/malaga/" TargetMode="External"/><Relationship Id="rId2021" Type="http://schemas.openxmlformats.org/officeDocument/2006/relationships/hyperlink" Target="https://profiles.google.com/abelfranc" TargetMode="External"/><Relationship Id="rId2259" Type="http://schemas.openxmlformats.org/officeDocument/2006/relationships/hyperlink" Target="http://bit.ly/2KXHrcO" TargetMode="External"/><Relationship Id="rId2466" Type="http://schemas.openxmlformats.org/officeDocument/2006/relationships/hyperlink" Target="http://copiajuridica.es/" TargetMode="External"/><Relationship Id="rId200" Type="http://schemas.openxmlformats.org/officeDocument/2006/relationships/hyperlink" Target="http://www.ramblalibre.com/" TargetMode="External"/><Relationship Id="rId438" Type="http://schemas.openxmlformats.org/officeDocument/2006/relationships/hyperlink" Target="http://asanleo.com/" TargetMode="External"/><Relationship Id="rId645" Type="http://schemas.openxmlformats.org/officeDocument/2006/relationships/hyperlink" Target="http://pic.twitter.com/UJjDz5PN7x" TargetMode="External"/><Relationship Id="rId852" Type="http://schemas.openxmlformats.org/officeDocument/2006/relationships/hyperlink" Target="https://www.alertanacional.es/" TargetMode="External"/><Relationship Id="rId1068" Type="http://schemas.openxmlformats.org/officeDocument/2006/relationships/hyperlink" Target="https://twitter.com/RIVAS_Llanera/status/1071017610152738817" TargetMode="External"/><Relationship Id="rId1275" Type="http://schemas.openxmlformats.org/officeDocument/2006/relationships/hyperlink" Target="https://pbs.twimg.com/media/Dt04nQmWwAAJMCv.jpg" TargetMode="External"/><Relationship Id="rId1482" Type="http://schemas.openxmlformats.org/officeDocument/2006/relationships/hyperlink" Target="https://twitter.com/Shmtnk/status/1071028593264873472" TargetMode="External"/><Relationship Id="rId2119" Type="http://schemas.openxmlformats.org/officeDocument/2006/relationships/hyperlink" Target="https://pbs.twimg.com/media/DtvGxdWWwAE-nt9.jpg" TargetMode="External"/><Relationship Id="rId2326" Type="http://schemas.openxmlformats.org/officeDocument/2006/relationships/hyperlink" Target="http://pic.twitter.com/3QZe7nO3QS" TargetMode="External"/><Relationship Id="rId2533" Type="http://schemas.openxmlformats.org/officeDocument/2006/relationships/hyperlink" Target="https://twitter.com/numer344/status/1070725609188417541" TargetMode="External"/><Relationship Id="rId505" Type="http://schemas.openxmlformats.org/officeDocument/2006/relationships/hyperlink" Target="http://www.manolindo.zz.mu/" TargetMode="External"/><Relationship Id="rId712" Type="http://schemas.openxmlformats.org/officeDocument/2006/relationships/hyperlink" Target="https://goo.gl/JCxFTR?gjg35=4717818678" TargetMode="External"/><Relationship Id="rId1135" Type="http://schemas.openxmlformats.org/officeDocument/2006/relationships/hyperlink" Target="https://pbs.twimg.com/media/Dt1WG4fW0AArg_a.jpg" TargetMode="External"/><Relationship Id="rId1342" Type="http://schemas.openxmlformats.org/officeDocument/2006/relationships/hyperlink" Target="http://www.bitmomentum.com/" TargetMode="External"/><Relationship Id="rId1787" Type="http://schemas.openxmlformats.org/officeDocument/2006/relationships/hyperlink" Target="https://pbs.twimg.com/media/DtzW4V-U4AEGVmI.jpg" TargetMode="External"/><Relationship Id="rId1994" Type="http://schemas.openxmlformats.org/officeDocument/2006/relationships/hyperlink" Target="https://twitter.com/agarzon/status/1070600644908777472" TargetMode="External"/><Relationship Id="rId79" Type="http://schemas.openxmlformats.org/officeDocument/2006/relationships/hyperlink" Target="http://pic.twitter.com/bSg0CVmxi8" TargetMode="External"/><Relationship Id="rId1202" Type="http://schemas.openxmlformats.org/officeDocument/2006/relationships/hyperlink" Target="http://chng.it/4ysYfH6B" TargetMode="External"/><Relationship Id="rId1647" Type="http://schemas.openxmlformats.org/officeDocument/2006/relationships/hyperlink" Target="https://pbs.twimg.com/media/DtwySN0WsAEXWz6.jpg" TargetMode="External"/><Relationship Id="rId1854" Type="http://schemas.openxmlformats.org/officeDocument/2006/relationships/hyperlink" Target="http://pic.twitter.com/gHkjx4Hpw5" TargetMode="External"/><Relationship Id="rId1507" Type="http://schemas.openxmlformats.org/officeDocument/2006/relationships/hyperlink" Target="https://twitter.com/Miotroyo2parte/status/1070994564868128769" TargetMode="External"/><Relationship Id="rId1714" Type="http://schemas.openxmlformats.org/officeDocument/2006/relationships/hyperlink" Target="http://nuevaspoliticas.wordpress.com/" TargetMode="External"/><Relationship Id="rId295" Type="http://schemas.openxmlformats.org/officeDocument/2006/relationships/hyperlink" Target="http://www.grancanariatv.com/" TargetMode="External"/><Relationship Id="rId1921" Type="http://schemas.openxmlformats.org/officeDocument/2006/relationships/hyperlink" Target="https://www.youtube.com/channel/UCY60GBj-H8SmayRG1UgDVWw" TargetMode="External"/><Relationship Id="rId2183" Type="http://schemas.openxmlformats.org/officeDocument/2006/relationships/hyperlink" Target="https://ift.tt/2G5MQ2I" TargetMode="External"/><Relationship Id="rId2390" Type="http://schemas.openxmlformats.org/officeDocument/2006/relationships/hyperlink" Target="https://youtu.be/oIMxo0mWe0Q" TargetMode="External"/><Relationship Id="rId2488" Type="http://schemas.openxmlformats.org/officeDocument/2006/relationships/hyperlink" Target="https://twitter.com/sterlingmrch/status/1070681768687210496" TargetMode="External"/><Relationship Id="rId155" Type="http://schemas.openxmlformats.org/officeDocument/2006/relationships/hyperlink" Target="https://www.cope.es/n/306562" TargetMode="External"/><Relationship Id="rId362" Type="http://schemas.openxmlformats.org/officeDocument/2006/relationships/hyperlink" Target="https://blogs.publico.es/dominiopublico/27340/carta-al-tipo-que-mando-una-carta-a-pablo-iglesias/" TargetMode="External"/><Relationship Id="rId1297" Type="http://schemas.openxmlformats.org/officeDocument/2006/relationships/hyperlink" Target="https://twitter.com/PodemTerrassa/status/1070797481783500800" TargetMode="External"/><Relationship Id="rId2043" Type="http://schemas.openxmlformats.org/officeDocument/2006/relationships/hyperlink" Target="http://youtu.be/3eLKQ-zSPsk?a" TargetMode="External"/><Relationship Id="rId2250" Type="http://schemas.openxmlformats.org/officeDocument/2006/relationships/hyperlink" Target="https://twitter.com/lasvocesdelpue/status/1070739767489384450" TargetMode="External"/><Relationship Id="rId222" Type="http://schemas.openxmlformats.org/officeDocument/2006/relationships/hyperlink" Target="http://www.puntoyaparte.de/" TargetMode="External"/><Relationship Id="rId667" Type="http://schemas.openxmlformats.org/officeDocument/2006/relationships/hyperlink" Target="https://pbs.twimg.com/media/Dt3-ctTWoAElMOe.jpg" TargetMode="External"/><Relationship Id="rId874" Type="http://schemas.openxmlformats.org/officeDocument/2006/relationships/hyperlink" Target="https://casoaislado.com/la-incitacion-al-odio-contra-vox-de-pablo-iglesias-deja-sus-primeras-victimas-dos-afiliados-son-agredidos-en-murcia/" TargetMode="External"/><Relationship Id="rId2110" Type="http://schemas.openxmlformats.org/officeDocument/2006/relationships/hyperlink" Target="https://pbs.twimg.com/media/DtvL2BYW0AEy_rQ.jpg" TargetMode="External"/><Relationship Id="rId2348" Type="http://schemas.openxmlformats.org/officeDocument/2006/relationships/hyperlink" Target="https://instagram.com/arte_arquitectura_museos?utm_source=ig_profile_share&amp;igshid=1cg4p6qkbuct7" TargetMode="External"/><Relationship Id="rId2555" Type="http://schemas.openxmlformats.org/officeDocument/2006/relationships/hyperlink" Target="https://ift.tt/2zMNRHA" TargetMode="External"/><Relationship Id="rId527" Type="http://schemas.openxmlformats.org/officeDocument/2006/relationships/hyperlink" Target="https://pbs.twimg.com/media/Dt04nzWWwAY173E.jpg" TargetMode="External"/><Relationship Id="rId734" Type="http://schemas.openxmlformats.org/officeDocument/2006/relationships/hyperlink" Target="https://pbs.twimg.com/media/Dt2-BZAU8AAs3a1.jpg" TargetMode="External"/><Relationship Id="rId941" Type="http://schemas.openxmlformats.org/officeDocument/2006/relationships/hyperlink" Target="http://www.ugtilunionoutsourcing.es/" TargetMode="External"/><Relationship Id="rId1157" Type="http://schemas.openxmlformats.org/officeDocument/2006/relationships/hyperlink" Target="https://pbs.twimg.com/media/Dt1TRXOUwAAwMuj.jpg" TargetMode="External"/><Relationship Id="rId1364" Type="http://schemas.openxmlformats.org/officeDocument/2006/relationships/hyperlink" Target="https://twitter.com/eugeniaperret/status/1071051158767194112" TargetMode="External"/><Relationship Id="rId1571" Type="http://schemas.openxmlformats.org/officeDocument/2006/relationships/hyperlink" Target="http://www.contrainformacion.es/" TargetMode="External"/><Relationship Id="rId2208" Type="http://schemas.openxmlformats.org/officeDocument/2006/relationships/hyperlink" Target="https://pbs.twimg.com/media/DtxBqqjWkAAKOWn.jpg" TargetMode="External"/><Relationship Id="rId2415" Type="http://schemas.openxmlformats.org/officeDocument/2006/relationships/hyperlink" Target="https://twitter.com/lbalcarce/status/1070734243372896258" TargetMode="External"/><Relationship Id="rId70" Type="http://schemas.openxmlformats.org/officeDocument/2006/relationships/hyperlink" Target="https://www.elmundo.es/loc/famosos/2018/12/08/5c0a3ffffc6c8320198b45e5.html" TargetMode="External"/><Relationship Id="rId801" Type="http://schemas.openxmlformats.org/officeDocument/2006/relationships/hyperlink" Target="https://www.elmundo.es/baleares/2018/12/07/5c0a31e8fc6c83ee428b45c5.html" TargetMode="External"/><Relationship Id="rId1017" Type="http://schemas.openxmlformats.org/officeDocument/2006/relationships/hyperlink" Target="https://www.lasvocesdelpueblo.com/video-carga-de-los-mozos-contra-los-comandos-de-pablo-iglesias-e-independentismo-en-terrasa/" TargetMode="External"/><Relationship Id="rId1224" Type="http://schemas.openxmlformats.org/officeDocument/2006/relationships/hyperlink" Target="http://pic.twitter.com/txy1JdZXj9" TargetMode="External"/><Relationship Id="rId1431" Type="http://schemas.openxmlformats.org/officeDocument/2006/relationships/hyperlink" Target="http://elradio.es/" TargetMode="External"/><Relationship Id="rId1669" Type="http://schemas.openxmlformats.org/officeDocument/2006/relationships/hyperlink" Target="https://www.facebook.com/groups/1523383624657240/?fref=nf" TargetMode="External"/><Relationship Id="rId1876" Type="http://schemas.openxmlformats.org/officeDocument/2006/relationships/hyperlink" Target="http://pic.twitter.com/HVD6msgDY1" TargetMode="External"/><Relationship Id="rId1529" Type="http://schemas.openxmlformats.org/officeDocument/2006/relationships/hyperlink" Target="https://pbs.twimg.com/media/Dt0I7tIX4AIRyTn.jpg" TargetMode="External"/><Relationship Id="rId1736" Type="http://schemas.openxmlformats.org/officeDocument/2006/relationships/hyperlink" Target="https://twitter.com/ahorapodemos/status/1069702201231228930" TargetMode="External"/><Relationship Id="rId1943" Type="http://schemas.openxmlformats.org/officeDocument/2006/relationships/hyperlink" Target="https://pbs.twimg.com/media/Dty4y2RX4AAdLnP.jpg" TargetMode="External"/><Relationship Id="rId28" Type="http://schemas.openxmlformats.org/officeDocument/2006/relationships/hyperlink" Target="https://casoaislado.com/miles-de-espanoles-firman-para-que-pablo-iglesias-sea-condenado-a-prision-por-delito-de-odio-contra-vox/" TargetMode="External"/><Relationship Id="rId1803" Type="http://schemas.openxmlformats.org/officeDocument/2006/relationships/hyperlink" Target="https://pbs.twimg.com/media/Dtuq4NyWwAA4MTs.jpg" TargetMode="External"/><Relationship Id="rId177" Type="http://schemas.openxmlformats.org/officeDocument/2006/relationships/hyperlink" Target="https://www.change.org/p/ministerio-de-justicia-pena-de-prisi%C3%B3n-de-1-a-4-a%C3%B1os-para-pablo-iglesias-por-delito-de-odio?recruiter=883642584&amp;utm_source=share_petition&amp;utm_medium=twitter&amp;utm_campaign=psf_combo_share_initial.pacific_email_copy_en_gb_4.v1.pacific_email_copy_en_us_3.control.pacific_email_copy_en_us_5.v1.pacific_post_sap_share_gmail_abi.control.lightning_2primary_share_options_more.variant&amp;utm_term=psf_combo_share_abi.pacific_email_copy_en_us_3.control.pacific_email_copy_en_gb_4.v1.pacific_email_copy_en_us_5.v1.pacific_post_sap_share_gmail_abi.control.lightning_2primary_share_options_more.control" TargetMode="External"/><Relationship Id="rId384" Type="http://schemas.openxmlformats.org/officeDocument/2006/relationships/hyperlink" Target="https://soundcloud.com/djsergioresa" TargetMode="External"/><Relationship Id="rId591" Type="http://schemas.openxmlformats.org/officeDocument/2006/relationships/hyperlink" Target="https://www.elmundo.es/baleares/2018/12/07/5c0a31e8fc6c83ee428b45c5.html" TargetMode="External"/><Relationship Id="rId2065" Type="http://schemas.openxmlformats.org/officeDocument/2006/relationships/hyperlink" Target="https://pbs.twimg.com/media/DtxbvptW0AYmGSB.jpg" TargetMode="External"/><Relationship Id="rId2272" Type="http://schemas.openxmlformats.org/officeDocument/2006/relationships/hyperlink" Target="http://youtu.be/3eLKQ-zSPsk?a" TargetMode="External"/><Relationship Id="rId244" Type="http://schemas.openxmlformats.org/officeDocument/2006/relationships/hyperlink" Target="https://www.periodistadigital.com/opinion/cartas-al-director/2018/12/08/carta-abierta-de-santiago-abascal-a-pablo-iglesias-lo-tienes-crudo.shtml" TargetMode="External"/><Relationship Id="rId689" Type="http://schemas.openxmlformats.org/officeDocument/2006/relationships/hyperlink" Target="http://www.facebook.com/fernando.jimenez.12720" TargetMode="External"/><Relationship Id="rId896" Type="http://schemas.openxmlformats.org/officeDocument/2006/relationships/hyperlink" Target="http://pic.twitter.com/d6BzIfSFFk" TargetMode="External"/><Relationship Id="rId1081" Type="http://schemas.openxmlformats.org/officeDocument/2006/relationships/hyperlink" Target="https://pbs.twimg.com/media/Dt1hdIQWkAAf5vs.jpg" TargetMode="External"/><Relationship Id="rId451" Type="http://schemas.openxmlformats.org/officeDocument/2006/relationships/hyperlink" Target="http://jordilahispaniola.blogspot.com/2018/08/el-capital-perdido.html" TargetMode="External"/><Relationship Id="rId549" Type="http://schemas.openxmlformats.org/officeDocument/2006/relationships/hyperlink" Target="https://www.elmundo.es/loc/famosos/2018/12/08/5c0a3ffffc6c8320198b45e5.html" TargetMode="External"/><Relationship Id="rId756" Type="http://schemas.openxmlformats.org/officeDocument/2006/relationships/hyperlink" Target="http://page.is/monnissima" TargetMode="External"/><Relationship Id="rId1179" Type="http://schemas.openxmlformats.org/officeDocument/2006/relationships/hyperlink" Target="https://youtu.be/S8_g6JS2z24" TargetMode="External"/><Relationship Id="rId1386" Type="http://schemas.openxmlformats.org/officeDocument/2006/relationships/hyperlink" Target="https://www.facebook.com/tonho.randeeira" TargetMode="External"/><Relationship Id="rId1593" Type="http://schemas.openxmlformats.org/officeDocument/2006/relationships/hyperlink" Target="https://www.facebook.com/enconomiaybolsa" TargetMode="External"/><Relationship Id="rId2132" Type="http://schemas.openxmlformats.org/officeDocument/2006/relationships/hyperlink" Target="https://www.elmatinal.com/actualidad/piden-la-detencion-de-pablo-iglesias-por-ser-el-promotor-de-las-violentas-manifestaciones-contra-vox-en-andalucia/" TargetMode="External"/><Relationship Id="rId2437" Type="http://schemas.openxmlformats.org/officeDocument/2006/relationships/hyperlink" Target="http://www.europapress.es/" TargetMode="External"/><Relationship Id="rId104" Type="http://schemas.openxmlformats.org/officeDocument/2006/relationships/hyperlink" Target="https://twitter.com/RIVAS_Llanera/status/1071017610152738817" TargetMode="External"/><Relationship Id="rId311" Type="http://schemas.openxmlformats.org/officeDocument/2006/relationships/hyperlink" Target="https://pbs.twimg.com/media/Dt5I84nXgAAUHT5.jpg" TargetMode="External"/><Relationship Id="rId409" Type="http://schemas.openxmlformats.org/officeDocument/2006/relationships/hyperlink" Target="http://bit.ly/2zM8PWW" TargetMode="External"/><Relationship Id="rId963" Type="http://schemas.openxmlformats.org/officeDocument/2006/relationships/hyperlink" Target="https://casoaislado.com/la-incitacion-al-odio-contra-vox-de-pablo-iglesias-deja-sus-primeras-victimas-dos-afiliados-son-agredidos-en-murcia/" TargetMode="External"/><Relationship Id="rId1039" Type="http://schemas.openxmlformats.org/officeDocument/2006/relationships/hyperlink" Target="https://www.okdario.com/podemos-dulces-cara-pablo-iglesias/" TargetMode="External"/><Relationship Id="rId1246" Type="http://schemas.openxmlformats.org/officeDocument/2006/relationships/hyperlink" Target="https://www.lavanguardia.com/politica/20181203/453292105164/resultados-elecciones-andalucia-pablo-iglesias-podemos-vox-video-seo-ext.html" TargetMode="External"/><Relationship Id="rId1898" Type="http://schemas.openxmlformats.org/officeDocument/2006/relationships/hyperlink" Target="http://agorafutura.wordpress.com/" TargetMode="External"/><Relationship Id="rId92" Type="http://schemas.openxmlformats.org/officeDocument/2006/relationships/hyperlink" Target="https://twitter.com/jfalbertos/status/1071073606619287554" TargetMode="External"/><Relationship Id="rId616" Type="http://schemas.openxmlformats.org/officeDocument/2006/relationships/hyperlink" Target="https://pbs.twimg.com/media/Dt4JOFEW4AAK0du.jpg" TargetMode="External"/><Relationship Id="rId823" Type="http://schemas.openxmlformats.org/officeDocument/2006/relationships/hyperlink" Target="http://chng.it/r5tcX9Nk" TargetMode="External"/><Relationship Id="rId1453" Type="http://schemas.openxmlformats.org/officeDocument/2006/relationships/hyperlink" Target="http://pic.twitter.com/ik7v2RuLGR" TargetMode="External"/><Relationship Id="rId1660" Type="http://schemas.openxmlformats.org/officeDocument/2006/relationships/hyperlink" Target="https://www.esdiario.com/781025410/Pablo-Iglesias-se-desespera-al-quedarse-solo-en-su-caceria-al-Rey-Juan-Carlos.html" TargetMode="External"/><Relationship Id="rId1758" Type="http://schemas.openxmlformats.org/officeDocument/2006/relationships/hyperlink" Target="https://www.facebook.com/groups/1523383624657240/?fref=nf" TargetMode="External"/><Relationship Id="rId2504" Type="http://schemas.openxmlformats.org/officeDocument/2006/relationships/hyperlink" Target="https://casoaislado.com/abascal-vapulea-pablo-iglesias-la-monarquia-sirve-alguien-devorado-odio-no-alcance-la-jefatura-del-estado/" TargetMode="External"/><Relationship Id="rId1106" Type="http://schemas.openxmlformats.org/officeDocument/2006/relationships/hyperlink" Target="https://www.huffingtonpost.es/2018/12/07/el-dardo-de-bertin-osborne-a-gabriel-rufian-y-pablo-iglesias-espana-es-el-pais-con-mas-politicos-idiotas-por-metro-cuadrado_a_23611885/" TargetMode="External"/><Relationship Id="rId1313" Type="http://schemas.openxmlformats.org/officeDocument/2006/relationships/hyperlink" Target="http://www.defenemvalencia.es/" TargetMode="External"/><Relationship Id="rId1520" Type="http://schemas.openxmlformats.org/officeDocument/2006/relationships/hyperlink" Target="https://contrainformacion.es/iu-y-el-pce-presentan-una-querella-contra-entre-otros-el-rey-emerito-porque-esta-monarquia-no-es-trigo-limpio-aunque-hoy-nos-den-lecciones-de-democracia/" TargetMode="External"/><Relationship Id="rId1965" Type="http://schemas.openxmlformats.org/officeDocument/2006/relationships/hyperlink" Target="https://www.abc.es/internacional/abci-maduro-ofrece-pernil-y-tres-euros-voten-elecciones-municipales-domingo-201812070313_noticia.html" TargetMode="External"/><Relationship Id="rId1618" Type="http://schemas.openxmlformats.org/officeDocument/2006/relationships/hyperlink" Target="https://www.eldiario.es/politica/Pablo-Iglesias-contrapone-republicanismo-feminista_0_843416120.html" TargetMode="External"/><Relationship Id="rId1825" Type="http://schemas.openxmlformats.org/officeDocument/2006/relationships/hyperlink" Target="https://contrainformacion.es/iu-y-el-pce-presentan-una-querella-contra-entre-otros-el-rey-emerito-porque-esta-monarquia-no-es-trigo-limpio-aunque-hoy-nos-den-lecciones-de-democracia/" TargetMode="External"/><Relationship Id="rId199" Type="http://schemas.openxmlformats.org/officeDocument/2006/relationships/hyperlink" Target="https://pbs.twimg.com/media/Dt4zoRkXgAADQw7.jpg" TargetMode="External"/><Relationship Id="rId2087" Type="http://schemas.openxmlformats.org/officeDocument/2006/relationships/hyperlink" Target="http://pic.twitter.com/x2YQ2k8WrQ" TargetMode="External"/><Relationship Id="rId2294" Type="http://schemas.openxmlformats.org/officeDocument/2006/relationships/hyperlink" Target="https://pbs.twimg.com/media/DtvGxdWWwAE-nt9.jpg" TargetMode="External"/><Relationship Id="rId266" Type="http://schemas.openxmlformats.org/officeDocument/2006/relationships/hyperlink" Target="https://m.publico.es/columnas/110597571549/dominio-publico-carta-al-tipo-que-mando-una-carta-a-pablo-iglesias" TargetMode="External"/><Relationship Id="rId473" Type="http://schemas.openxmlformats.org/officeDocument/2006/relationships/hyperlink" Target="http://machacandolasalmendra.blogspot.com/" TargetMode="External"/><Relationship Id="rId680" Type="http://schemas.openxmlformats.org/officeDocument/2006/relationships/hyperlink" Target="https://www.elmundo.es/baleares/2018/12/07/5c0a31e8fc6c83ee428b45c5.html" TargetMode="External"/><Relationship Id="rId2154" Type="http://schemas.openxmlformats.org/officeDocument/2006/relationships/hyperlink" Target="https://twitter.com/ahorapodemos/status/1070746451364495360" TargetMode="External"/><Relationship Id="rId2361" Type="http://schemas.openxmlformats.org/officeDocument/2006/relationships/hyperlink" Target="https://open.spotify.com/album/3FKanDYH2t4tTXehlH9k11" TargetMode="External"/><Relationship Id="rId126" Type="http://schemas.openxmlformats.org/officeDocument/2006/relationships/hyperlink" Target="http://criptosgratis.blogspot.com.es/" TargetMode="External"/><Relationship Id="rId333" Type="http://schemas.openxmlformats.org/officeDocument/2006/relationships/hyperlink" Target="http://chng.it/bJLgSffD" TargetMode="External"/><Relationship Id="rId540" Type="http://schemas.openxmlformats.org/officeDocument/2006/relationships/hyperlink" Target="https://twitter.com/morenog_agustin/status/1071132248479535107" TargetMode="External"/><Relationship Id="rId778" Type="http://schemas.openxmlformats.org/officeDocument/2006/relationships/hyperlink" Target="http://www.sumarium.es/" TargetMode="External"/><Relationship Id="rId985" Type="http://schemas.openxmlformats.org/officeDocument/2006/relationships/hyperlink" Target="http://pic.twitter.com/ijhnfrp4oQ" TargetMode="External"/><Relationship Id="rId1170" Type="http://schemas.openxmlformats.org/officeDocument/2006/relationships/hyperlink" Target="http://podemosparla.org/" TargetMode="External"/><Relationship Id="rId2014" Type="http://schemas.openxmlformats.org/officeDocument/2006/relationships/hyperlink" Target="https://www.elmatinal.com/actualidad/piden-la-detencion-de-pablo-iglesias-por-ser-el-promotor-de-las-violentas-manifestaciones-contra-vox-en-andalucia/" TargetMode="External"/><Relationship Id="rId2221" Type="http://schemas.openxmlformats.org/officeDocument/2006/relationships/hyperlink" Target="http://youtu.be/3eLKQ-zSPsk?a" TargetMode="External"/><Relationship Id="rId2459" Type="http://schemas.openxmlformats.org/officeDocument/2006/relationships/hyperlink" Target="https://pbs.twimg.com/media/DtwjJYhW0AAljhB.jpg" TargetMode="External"/><Relationship Id="rId638" Type="http://schemas.openxmlformats.org/officeDocument/2006/relationships/hyperlink" Target="https://www.periodistadigital.com/ocio-y-cultura/gente/2018/12/08/bertin-osborne-hunde-miseria-pablo-iglesias-no-voto-muerto-borracho-vino.shtml" TargetMode="External"/><Relationship Id="rId845" Type="http://schemas.openxmlformats.org/officeDocument/2006/relationships/hyperlink" Target="http://pic.twitter.com/Ik4oKNNkBZ" TargetMode="External"/><Relationship Id="rId1030" Type="http://schemas.openxmlformats.org/officeDocument/2006/relationships/hyperlink" Target="http://youtu.be/v2_qo6LMSsA?a" TargetMode="External"/><Relationship Id="rId1268" Type="http://schemas.openxmlformats.org/officeDocument/2006/relationships/hyperlink" Target="http://pic.twitter.com/ylAs9vnvTB" TargetMode="External"/><Relationship Id="rId1475" Type="http://schemas.openxmlformats.org/officeDocument/2006/relationships/hyperlink" Target="http://pic.twitter.com/MIFkcXrFtH" TargetMode="External"/><Relationship Id="rId1682" Type="http://schemas.openxmlformats.org/officeDocument/2006/relationships/hyperlink" Target="https://www.youtube.com/channel/UCzxgc4H0oHpD_o05R7wmEAA" TargetMode="External"/><Relationship Id="rId2319" Type="http://schemas.openxmlformats.org/officeDocument/2006/relationships/hyperlink" Target="https://youtu.be/3eLKQ-zSPsk" TargetMode="External"/><Relationship Id="rId2526" Type="http://schemas.openxmlformats.org/officeDocument/2006/relationships/hyperlink" Target="https://casoaislado.com/los-espanoles-piden-la-detencion-pablo-iglesias-instigador-las-violentas-manifestaciones-andalucia/" TargetMode="External"/><Relationship Id="rId400" Type="http://schemas.openxmlformats.org/officeDocument/2006/relationships/hyperlink" Target="http://chng.it/Z4gs5kLF" TargetMode="External"/><Relationship Id="rId705" Type="http://schemas.openxmlformats.org/officeDocument/2006/relationships/hyperlink" Target="https://casoaislado.com/la-incitacion-al-odio-contra-vox-de-pablo-iglesias-deja-sus-primeras-victimas-dos-afiliados-son-agredidos-en-murcia/" TargetMode="External"/><Relationship Id="rId1128" Type="http://schemas.openxmlformats.org/officeDocument/2006/relationships/hyperlink" Target="https://okdiario.com/espana/2018/12/05/ciudadano-cake-toma-vox-antiguo-barrio-pablo-iglesias-3430388" TargetMode="External"/><Relationship Id="rId1335" Type="http://schemas.openxmlformats.org/officeDocument/2006/relationships/hyperlink" Target="http://libertadperdida.fullblog.com.ar/topico/General/" TargetMode="External"/><Relationship Id="rId1542" Type="http://schemas.openxmlformats.org/officeDocument/2006/relationships/hyperlink" Target="https://twitter.com/Jose_Tomba/status/1070809577841668096" TargetMode="External"/><Relationship Id="rId1987" Type="http://schemas.openxmlformats.org/officeDocument/2006/relationships/hyperlink" Target="http://lrzn.es/hkasn3" TargetMode="External"/><Relationship Id="rId912" Type="http://schemas.openxmlformats.org/officeDocument/2006/relationships/hyperlink" Target="https://casoaislado.com/la-incitacion-al-odio-contra-vox-de-pablo-iglesias-deja-sus-primeras-victimas-dos-afiliados-son-agredidos-en-murcia/" TargetMode="External"/><Relationship Id="rId1847" Type="http://schemas.openxmlformats.org/officeDocument/2006/relationships/hyperlink" Target="http://t.me/ahoracantabria" TargetMode="External"/><Relationship Id="rId41" Type="http://schemas.openxmlformats.org/officeDocument/2006/relationships/hyperlink" Target="http://curiouscat.me/Wysh" TargetMode="External"/><Relationship Id="rId1402" Type="http://schemas.openxmlformats.org/officeDocument/2006/relationships/hyperlink" Target="https://pbs.twimg.com/media/DtwmvJtW0AA4W_2.jpg" TargetMode="External"/><Relationship Id="rId1707" Type="http://schemas.openxmlformats.org/officeDocument/2006/relationships/hyperlink" Target="https://contrainformacion.es/iu-y-el-pce-presentan-una-querella-contra-entre-otros-el-rey-emerito-porque-esta-monarquia-no-es-trigo-limpio-aunque-hoy-nos-den-lecciones-de-democracia/" TargetMode="External"/><Relationship Id="rId190" Type="http://schemas.openxmlformats.org/officeDocument/2006/relationships/hyperlink" Target="https://elestrado.wordpress.com/" TargetMode="External"/><Relationship Id="rId288" Type="http://schemas.openxmlformats.org/officeDocument/2006/relationships/hyperlink" Target="https://blogs.publico.es/dominiopublico/27340/carta-al-tipo-que-mando-una-carta-a-pablo-iglesias/" TargetMode="External"/><Relationship Id="rId1914" Type="http://schemas.openxmlformats.org/officeDocument/2006/relationships/hyperlink" Target="https://pbs.twimg.com/media/DtzAeRgX4AA2w7a.jpg" TargetMode="External"/><Relationship Id="rId495" Type="http://schemas.openxmlformats.org/officeDocument/2006/relationships/hyperlink" Target="http://chng.it/Y2rnwJsj" TargetMode="External"/><Relationship Id="rId2176" Type="http://schemas.openxmlformats.org/officeDocument/2006/relationships/hyperlink" Target="https://youtu.be/q_0E5BnCQg0" TargetMode="External"/><Relationship Id="rId2383" Type="http://schemas.openxmlformats.org/officeDocument/2006/relationships/hyperlink" Target="https://pbs.twimg.com/media/Dtu-7pOWsAAAKBJ.jpg" TargetMode="External"/><Relationship Id="rId148" Type="http://schemas.openxmlformats.org/officeDocument/2006/relationships/hyperlink" Target="http://pic.twitter.com/mry54mLAkI" TargetMode="External"/><Relationship Id="rId355" Type="http://schemas.openxmlformats.org/officeDocument/2006/relationships/hyperlink" Target="http://nuevarevolucion.es/columnas/poesia-critica/" TargetMode="External"/><Relationship Id="rId562" Type="http://schemas.openxmlformats.org/officeDocument/2006/relationships/hyperlink" Target="http://pic.twitter.com/vd8Os7mRdC" TargetMode="External"/><Relationship Id="rId1192" Type="http://schemas.openxmlformats.org/officeDocument/2006/relationships/hyperlink" Target="https://twitter.com/rubnpulido/status/1070657991756500992" TargetMode="External"/><Relationship Id="rId2036" Type="http://schemas.openxmlformats.org/officeDocument/2006/relationships/hyperlink" Target="https://twitter.com/agarzon/status/1070600644908777472" TargetMode="External"/><Relationship Id="rId2243" Type="http://schemas.openxmlformats.org/officeDocument/2006/relationships/hyperlink" Target="https://bit.ly/2AW3tIo" TargetMode="External"/><Relationship Id="rId2450" Type="http://schemas.openxmlformats.org/officeDocument/2006/relationships/hyperlink" Target="https://www.youtube.com/watch?v=ocCsgeKbUvI" TargetMode="External"/><Relationship Id="rId215" Type="http://schemas.openxmlformats.org/officeDocument/2006/relationships/hyperlink" Target="https://bit.ly/2E8PfHk" TargetMode="External"/><Relationship Id="rId422" Type="http://schemas.openxmlformats.org/officeDocument/2006/relationships/hyperlink" Target="https://www.instagram.com/juance67/" TargetMode="External"/><Relationship Id="rId867" Type="http://schemas.openxmlformats.org/officeDocument/2006/relationships/hyperlink" Target="https://twitter.com/HispaniaFortius/status/1071137047799365645" TargetMode="External"/><Relationship Id="rId1052" Type="http://schemas.openxmlformats.org/officeDocument/2006/relationships/hyperlink" Target="https://www.mediterraneodigital.com/espana/comunidad-de-madrid/pablo-iglesias-me-da-vergueenza-como-espanol-que-exista-vox.html?fbclid=IwAR2OEqXSBGNVAx2QeB4dv_cGOz0r7XQwoY_DnPng7jJopsWZzjJ7d8DV9g4" TargetMode="External"/><Relationship Id="rId1497" Type="http://schemas.openxmlformats.org/officeDocument/2006/relationships/hyperlink" Target="https://www.youtube.com/channel/UC2OPRvShCwMeO__KHVyPl9w?sub_confirmation=1" TargetMode="External"/><Relationship Id="rId2103" Type="http://schemas.openxmlformats.org/officeDocument/2006/relationships/hyperlink" Target="https://okdiario.com/espana/2018/12/05/foros-militancia-podemos-arden-contra-iglesias-pablo-callate-haz-autocritica-3427399/amp" TargetMode="External"/><Relationship Id="rId2310" Type="http://schemas.openxmlformats.org/officeDocument/2006/relationships/hyperlink" Target="http://www.bitmomentum.com/" TargetMode="External"/><Relationship Id="rId2548" Type="http://schemas.openxmlformats.org/officeDocument/2006/relationships/hyperlink" Target="https://pbs.twimg.com/media/DtvL2BYW0AEy_rQ.jpg" TargetMode="External"/><Relationship Id="rId727" Type="http://schemas.openxmlformats.org/officeDocument/2006/relationships/hyperlink" Target="https://goo.gl/Cpf6XA?zmx27=7242885290" TargetMode="External"/><Relationship Id="rId934" Type="http://schemas.openxmlformats.org/officeDocument/2006/relationships/hyperlink" Target="https://twitter.com/elportumau/status/1071107036019113986" TargetMode="External"/><Relationship Id="rId1357" Type="http://schemas.openxmlformats.org/officeDocument/2006/relationships/hyperlink" Target="https://pbs.twimg.com/media/Dtkuw5oXcAIO9xZ.jpg" TargetMode="External"/><Relationship Id="rId1564" Type="http://schemas.openxmlformats.org/officeDocument/2006/relationships/hyperlink" Target="https://www.esdiario.com/amp/781025410/Pablo-Iglesias-se-desespera-al-quedarse-solo-en-su-caceria-al-Rey-Juan-Carlos.html" TargetMode="External"/><Relationship Id="rId1771" Type="http://schemas.openxmlformats.org/officeDocument/2006/relationships/hyperlink" Target="http://caos-emergente.blogspot.com.es/" TargetMode="External"/><Relationship Id="rId2408" Type="http://schemas.openxmlformats.org/officeDocument/2006/relationships/hyperlink" Target="http://www.cuartopoder.es/" TargetMode="External"/><Relationship Id="rId63" Type="http://schemas.openxmlformats.org/officeDocument/2006/relationships/hyperlink" Target="http://www.novomedinilla.com/?m=1" TargetMode="External"/><Relationship Id="rId1217" Type="http://schemas.openxmlformats.org/officeDocument/2006/relationships/hyperlink" Target="https://pbs.twimg.com/media/Dt1JK2oXgAEbgis.jpg" TargetMode="External"/><Relationship Id="rId1424" Type="http://schemas.openxmlformats.org/officeDocument/2006/relationships/hyperlink" Target="https://www.laizquierdadiario.com/Celeste-Murillo" TargetMode="External"/><Relationship Id="rId1631" Type="http://schemas.openxmlformats.org/officeDocument/2006/relationships/hyperlink" Target="https://www.libertaddigital.com/espana/2018-12-04/carta-de-un-rojo-andaluz-a-pablo-iglesias-cuando-usted-predica-sobriedad-pero-se-compra-un-chale-nace-un-fascista-1276629342/?fbclid=IwAR22Axaq7xtowLVbVNlUatEfRCxEbPUDxfiCtd-aA7UfzafZK7FYAUk8C_s" TargetMode="External"/><Relationship Id="rId1869" Type="http://schemas.openxmlformats.org/officeDocument/2006/relationships/hyperlink" Target="https://www.sevillainfo.es/noticias-de-andalucia/nace-un-fascista-la-carta-abierta-a-pablo-iglesias-que-se-hace-viral-tras-las-elecciones-andaluzas/" TargetMode="External"/><Relationship Id="rId1729" Type="http://schemas.openxmlformats.org/officeDocument/2006/relationships/hyperlink" Target="https://eldebate.es/politica-de-estado/vox-se-pasea-por-las-3000-viviendas-y-pablo-iglesias-recorre-su-chalet-20181207" TargetMode="External"/><Relationship Id="rId1936" Type="http://schemas.openxmlformats.org/officeDocument/2006/relationships/hyperlink" Target="https://twitter.com/joanmena/status/1070574276493918208" TargetMode="External"/><Relationship Id="rId2198" Type="http://schemas.openxmlformats.org/officeDocument/2006/relationships/hyperlink" Target="https://youtu.be/wqwGqfQPaps" TargetMode="External"/><Relationship Id="rId377" Type="http://schemas.openxmlformats.org/officeDocument/2006/relationships/hyperlink" Target="https://www.periodistadigital.com/ocio-y-cultura/gente/2018/12/08/bertin-osborne-hunde-miseria-pablo-iglesias-no-voto-muerto-borracho-vino.shtml" TargetMode="External"/><Relationship Id="rId584" Type="http://schemas.openxmlformats.org/officeDocument/2006/relationships/hyperlink" Target="http://merianmi.wordpress.com/" TargetMode="External"/><Relationship Id="rId2058" Type="http://schemas.openxmlformats.org/officeDocument/2006/relationships/hyperlink" Target="http://derechosocultosespana.blogspot.com.es/2018/05/mientras-no-consigamos-entre-todos-ese.html" TargetMode="External"/><Relationship Id="rId2265" Type="http://schemas.openxmlformats.org/officeDocument/2006/relationships/hyperlink" Target="https://pbs.twimg.com/media/Dtw6aigUwAArH7k.jpg" TargetMode="External"/><Relationship Id="rId5" Type="http://schemas.openxmlformats.org/officeDocument/2006/relationships/hyperlink" Target="https://www.esdiario.com/781025410/Pablo-Iglesias-se-desespera-al-quedarse-solo-en-su-caceria-al-Rey-Juan-Carlos.html" TargetMode="External"/><Relationship Id="rId237" Type="http://schemas.openxmlformats.org/officeDocument/2006/relationships/hyperlink" Target="https://blogs.publico.es/dominiopublico/27340/carta-al-tipo-que-mando-una-carta-a-pablo-iglesias/" TargetMode="External"/><Relationship Id="rId791" Type="http://schemas.openxmlformats.org/officeDocument/2006/relationships/hyperlink" Target="https://pbs.twimg.com/media/Dt2ft3RU8AAiuSD.jpg" TargetMode="External"/><Relationship Id="rId889" Type="http://schemas.openxmlformats.org/officeDocument/2006/relationships/hyperlink" Target="http://www.outono.net/elentir/2018/12/07/el-rey-llamo-a-pablo-iglesias-para-preocuparse-por-sus-hijos-y-asi-se-lo-ha-agradecido-iglesias/" TargetMode="External"/><Relationship Id="rId1074" Type="http://schemas.openxmlformats.org/officeDocument/2006/relationships/hyperlink" Target="http://about.me/marisoltabuyo" TargetMode="External"/><Relationship Id="rId2472" Type="http://schemas.openxmlformats.org/officeDocument/2006/relationships/hyperlink" Target="https://twitter.com/Bilbaina27/status/1070748858878181376" TargetMode="External"/><Relationship Id="rId444" Type="http://schemas.openxmlformats.org/officeDocument/2006/relationships/hyperlink" Target="http://pic.twitter.com/BqKfjUhHff" TargetMode="External"/><Relationship Id="rId651" Type="http://schemas.openxmlformats.org/officeDocument/2006/relationships/hyperlink" Target="https://eldebate.es/" TargetMode="External"/><Relationship Id="rId749" Type="http://schemas.openxmlformats.org/officeDocument/2006/relationships/hyperlink" Target="http://chng.it/Dh4xTP9g" TargetMode="External"/><Relationship Id="rId1281" Type="http://schemas.openxmlformats.org/officeDocument/2006/relationships/hyperlink" Target="https://pbs.twimg.com/media/Dt03tQ6WwAAeiPz.jpg" TargetMode="External"/><Relationship Id="rId1379" Type="http://schemas.openxmlformats.org/officeDocument/2006/relationships/hyperlink" Target="http://pic.twitter.com/05miJEHRLE" TargetMode="External"/><Relationship Id="rId1586" Type="http://schemas.openxmlformats.org/officeDocument/2006/relationships/hyperlink" Target="https://twitter.com/pnique/status/1070344137008918528" TargetMode="External"/><Relationship Id="rId2125" Type="http://schemas.openxmlformats.org/officeDocument/2006/relationships/hyperlink" Target="https://twitter.com/arturelpayaso2/status/1070703901127651329" TargetMode="External"/><Relationship Id="rId2332" Type="http://schemas.openxmlformats.org/officeDocument/2006/relationships/hyperlink" Target="https://www.europapress.es/nacional/noticia-pablo-iglesias-decreta-alerta-antifascista-llama-movilizacion-contra-postfranquistas-vox-20181202233123.html" TargetMode="External"/><Relationship Id="rId304" Type="http://schemas.openxmlformats.org/officeDocument/2006/relationships/hyperlink" Target="https://twitter.com/Libert_Democrac/status/1070672236867190785" TargetMode="External"/><Relationship Id="rId511" Type="http://schemas.openxmlformats.org/officeDocument/2006/relationships/hyperlink" Target="https://www.elmundo.es/loc/famosos/2018/12/08/5c0a3ffffc6c8320198b45e5.html" TargetMode="External"/><Relationship Id="rId609" Type="http://schemas.openxmlformats.org/officeDocument/2006/relationships/hyperlink" Target="https://pbs.twimg.com/media/DtzmlZbX4AAdk4K.jpg" TargetMode="External"/><Relationship Id="rId956" Type="http://schemas.openxmlformats.org/officeDocument/2006/relationships/hyperlink" Target="https://twitter.com/FrayJosepho/status/1070967548534054915" TargetMode="External"/><Relationship Id="rId1141" Type="http://schemas.openxmlformats.org/officeDocument/2006/relationships/hyperlink" Target="http://www.huffingtonpost.es/" TargetMode="External"/><Relationship Id="rId1239" Type="http://schemas.openxmlformats.org/officeDocument/2006/relationships/hyperlink" Target="http://www.publico.es/" TargetMode="External"/><Relationship Id="rId1793" Type="http://schemas.openxmlformats.org/officeDocument/2006/relationships/hyperlink" Target="http://www.amanecequenoespoco.com/" TargetMode="External"/><Relationship Id="rId85" Type="http://schemas.openxmlformats.org/officeDocument/2006/relationships/hyperlink" Target="https://okdiario.com/internacional/2018/12/08/iran-amenaza-occidente-diluvio-drogas-refugiados-atentados-si-continuan-sanciones-3441895/amp" TargetMode="External"/><Relationship Id="rId816" Type="http://schemas.openxmlformats.org/officeDocument/2006/relationships/hyperlink" Target="https://okdiario.com/espana/2018/12/04/iglesias-responde-santiago-abascal-espero-que-no-haga-responsable-sus-hemorroides-3426437" TargetMode="External"/><Relationship Id="rId1001" Type="http://schemas.openxmlformats.org/officeDocument/2006/relationships/hyperlink" Target="http://www.outono.net/elentir/2018/12/07/el-rey-llamo-a-pablo-iglesias-para-preocuparse-por-sus-hijos-y-asi-se-lo-ha-agradecido-iglesias/" TargetMode="External"/><Relationship Id="rId1446" Type="http://schemas.openxmlformats.org/officeDocument/2006/relationships/hyperlink" Target="https://m.eldiario.es/desalambre/Interior-comenzara-cuchillas-Ceuta-Melilla_0_843765795.html" TargetMode="External"/><Relationship Id="rId1653" Type="http://schemas.openxmlformats.org/officeDocument/2006/relationships/hyperlink" Target="https://www.youtube.com/watch?v=ICi8x1lwVD4&amp;feature=share" TargetMode="External"/><Relationship Id="rId1860" Type="http://schemas.openxmlformats.org/officeDocument/2006/relationships/hyperlink" Target="https://twitter.com/orue_s/status/1070935946454097920" TargetMode="External"/><Relationship Id="rId1306" Type="http://schemas.openxmlformats.org/officeDocument/2006/relationships/hyperlink" Target="https://pbs.twimg.com/media/Dti0IX7U4AECuS3.jpg" TargetMode="External"/><Relationship Id="rId1513" Type="http://schemas.openxmlformats.org/officeDocument/2006/relationships/hyperlink" Target="https://eldebate.es/politica-de-estado/vox-se-pasea-por-las-3000-viviendas-y-pablo-iglesias-recorre-su-chalet-20181207" TargetMode="External"/><Relationship Id="rId1720" Type="http://schemas.openxmlformats.org/officeDocument/2006/relationships/hyperlink" Target="https://www.esdiario.com/781025410/Pablo-Iglesias-se-desespera-al-quedarse-solo-en-su-caceria-al-Rey-Juan-Carlos.html" TargetMode="External"/><Relationship Id="rId1958" Type="http://schemas.openxmlformats.org/officeDocument/2006/relationships/hyperlink" Target="http://www.diarioalcazar.com/2018/12/pablo-iglesias-podria-ser-juzgado-por.html?m=1" TargetMode="External"/><Relationship Id="rId12" Type="http://schemas.openxmlformats.org/officeDocument/2006/relationships/hyperlink" Target="https://twitter.com/philidor38/status/1069659054937653249" TargetMode="External"/><Relationship Id="rId1818" Type="http://schemas.openxmlformats.org/officeDocument/2006/relationships/hyperlink" Target="https://www.esdiario.com/363107544/La-COPE-fulmina-a-Podemos-muchos-etarras-tenian-el-telefono-de-Pablo-Iglesias.html" TargetMode="External"/><Relationship Id="rId161" Type="http://schemas.openxmlformats.org/officeDocument/2006/relationships/hyperlink" Target="https://www.periodistadigital.com/opinion/cartas-al-director/2018/12/08/carta-abierta-de-santiago-abascal-a-pablo-iglesias-lo-tienes-crudo.shtml" TargetMode="External"/><Relationship Id="rId399" Type="http://schemas.openxmlformats.org/officeDocument/2006/relationships/hyperlink" Target="https://blogs.publico.es/dominiopublico/27340/carta-al-tipo-que-mando-una-carta-a-pablo-iglesias/" TargetMode="External"/><Relationship Id="rId2287" Type="http://schemas.openxmlformats.org/officeDocument/2006/relationships/hyperlink" Target="http://youtu.be/ICi8x1lwVD4?a" TargetMode="External"/><Relationship Id="rId2494" Type="http://schemas.openxmlformats.org/officeDocument/2006/relationships/hyperlink" Target="http://es.linkedin.com/in/cesarcajete" TargetMode="External"/><Relationship Id="rId259" Type="http://schemas.openxmlformats.org/officeDocument/2006/relationships/hyperlink" Target="https://pbs.twimg.com/media/Dt46JVyWoAAHZUn.jpg" TargetMode="External"/><Relationship Id="rId466" Type="http://schemas.openxmlformats.org/officeDocument/2006/relationships/hyperlink" Target="https://okdiario.com/opinion/2018/12/07/temerario-villa-tinaja-3438743" TargetMode="External"/><Relationship Id="rId673" Type="http://schemas.openxmlformats.org/officeDocument/2006/relationships/hyperlink" Target="http://pic.twitter.com/ylAs9vnvTB" TargetMode="External"/><Relationship Id="rId880" Type="http://schemas.openxmlformats.org/officeDocument/2006/relationships/hyperlink" Target="https://casoaislado.com/la-incitacion-al-odio-contra-vox-de-pablo-iglesias-deja-sus-primeras-victimas-dos-afiliados-son-agredidos-en-murcia/" TargetMode="External"/><Relationship Id="rId1096" Type="http://schemas.openxmlformats.org/officeDocument/2006/relationships/hyperlink" Target="http://podemos.info/" TargetMode="External"/><Relationship Id="rId2147" Type="http://schemas.openxmlformats.org/officeDocument/2006/relationships/hyperlink" Target="https://okdiario.com/espana/2018/12/05/foros-militancia-podemos-arden-contra-iglesias-pablo-callate-haz-autocritica-3427399" TargetMode="External"/><Relationship Id="rId2354" Type="http://schemas.openxmlformats.org/officeDocument/2006/relationships/hyperlink" Target="https://pbs.twimg.com/media/Dtwvt05W4AEzIuq.jpg" TargetMode="External"/><Relationship Id="rId2561" Type="http://schemas.openxmlformats.org/officeDocument/2006/relationships/hyperlink" Target="https://casoaislado.com/los-espanoles-piden-la-detencion-pablo-iglesias-instigador-las-violentas-manifestaciones-andalucia/" TargetMode="External"/><Relationship Id="rId119" Type="http://schemas.openxmlformats.org/officeDocument/2006/relationships/hyperlink" Target="https://youtu.be/gjuLta58Png" TargetMode="External"/><Relationship Id="rId326" Type="http://schemas.openxmlformats.org/officeDocument/2006/relationships/hyperlink" Target="http://ramblalibre.com/2018/12/08/carta-a-pablo-iglesias-eres-un-botarate-rancio-al-que-solo-votan-las-emporradas/" TargetMode="External"/><Relationship Id="rId533" Type="http://schemas.openxmlformats.org/officeDocument/2006/relationships/hyperlink" Target="https://blogs.publico.es/dominiopublico/27340/carta-al-tipo-que-mando-una-carta-a-pablo-iglesias/" TargetMode="External"/><Relationship Id="rId978" Type="http://schemas.openxmlformats.org/officeDocument/2006/relationships/hyperlink" Target="http://pic.twitter.com/vWlRvWV6Mw" TargetMode="External"/><Relationship Id="rId1163" Type="http://schemas.openxmlformats.org/officeDocument/2006/relationships/hyperlink" Target="http://pic.twitter.com/Oirm2tlno0" TargetMode="External"/><Relationship Id="rId1370" Type="http://schemas.openxmlformats.org/officeDocument/2006/relationships/hyperlink" Target="https://www.elmatinal.com/actualidad/piden-la-detencion-de-pablo-iglesias-por-ser-el-promotor-de-las-violentas-manifestaciones-contra-vox-en-andalucia/" TargetMode="External"/><Relationship Id="rId2007" Type="http://schemas.openxmlformats.org/officeDocument/2006/relationships/hyperlink" Target="http://www.cronicasbarbaras.blogs.com/" TargetMode="External"/><Relationship Id="rId2214" Type="http://schemas.openxmlformats.org/officeDocument/2006/relationships/hyperlink" Target="http://agorafutura.wordpress.com/" TargetMode="External"/><Relationship Id="rId740" Type="http://schemas.openxmlformats.org/officeDocument/2006/relationships/hyperlink" Target="http://lafamiliadedios.wordpress.com/" TargetMode="External"/><Relationship Id="rId838" Type="http://schemas.openxmlformats.org/officeDocument/2006/relationships/hyperlink" Target="https://www.huffingtonpost.es/2018/12/07/el-dardo-de-bertin-osborne-a-gabriel-rufian-y-pablo-iglesias-espana-es-el-pais-con-mas-politicos-idiotas-por-metro-cuadrado_a_23611885/?ncid=other_twitter_cooo9wqtham&amp;utm_campaign=share_twitter" TargetMode="External"/><Relationship Id="rId1023" Type="http://schemas.openxmlformats.org/officeDocument/2006/relationships/hyperlink" Target="http://pic.twitter.com/iADKUPm4Iv" TargetMode="External"/><Relationship Id="rId1468" Type="http://schemas.openxmlformats.org/officeDocument/2006/relationships/hyperlink" Target="https://www.lavanguardia.com/local/barcelona/20181207/453402120450/barcelona-capital-europea-movilidad-urbana-mobilus.html" TargetMode="External"/><Relationship Id="rId1675" Type="http://schemas.openxmlformats.org/officeDocument/2006/relationships/hyperlink" Target="http://www.diarioalcazar.com/2018/12/pablo-iglesias-podria-ser-juzgado-por.html?m=1" TargetMode="External"/><Relationship Id="rId1882" Type="http://schemas.openxmlformats.org/officeDocument/2006/relationships/hyperlink" Target="http://www.ingescor.es/" TargetMode="External"/><Relationship Id="rId2421" Type="http://schemas.openxmlformats.org/officeDocument/2006/relationships/hyperlink" Target="https://pbs.twimg.com/media/DtwnyVsWkAASFxv.jpg" TargetMode="External"/><Relationship Id="rId2519" Type="http://schemas.openxmlformats.org/officeDocument/2006/relationships/hyperlink" Target="https://twitter.com/HispanoVisigoda/status/1070637285853540352" TargetMode="External"/><Relationship Id="rId600" Type="http://schemas.openxmlformats.org/officeDocument/2006/relationships/hyperlink" Target="https://www.elmundo.es/loc/famosos/2018/12/08/5c0a3ffffc6c8320198b45e5.html" TargetMode="External"/><Relationship Id="rId1230" Type="http://schemas.openxmlformats.org/officeDocument/2006/relationships/hyperlink" Target="https://twitter.com/Miotroyo2parte/status/1070994564868128769" TargetMode="External"/><Relationship Id="rId1328" Type="http://schemas.openxmlformats.org/officeDocument/2006/relationships/hyperlink" Target="https://www.instagram.com/p/BrF096GgqQl/?utm_source=ig_twitter_share&amp;igshid=1qc4b2ffchuhf" TargetMode="External"/><Relationship Id="rId1535" Type="http://schemas.openxmlformats.org/officeDocument/2006/relationships/hyperlink" Target="http://www.radiosportdjs.com/" TargetMode="External"/><Relationship Id="rId905" Type="http://schemas.openxmlformats.org/officeDocument/2006/relationships/hyperlink" Target="http://rsocial.elmundo.orbyt.es/epaper/xml_epaper/El%20Mundo/07_12_2018/pla_25589_Madrid/xml_arts/art_38244269.xml?SHARE=6C23C0F29C6C4F158F7CA6264B4863059324891C032E35983B0259D9A6F57882CDC7ADF0E945B79A4A05E1E2D978AD10BF91C08437D358708EB51971920CC47BA3ACFA839F34A19227112CE08903E5FD616BFBDD5974387581A7B1185EEC0E3A" TargetMode="External"/><Relationship Id="rId1742" Type="http://schemas.openxmlformats.org/officeDocument/2006/relationships/hyperlink" Target="http://photocontact.blogspot.com/" TargetMode="External"/><Relationship Id="rId34" Type="http://schemas.openxmlformats.org/officeDocument/2006/relationships/hyperlink" Target="https://www.periodistadigital.com/ocio-y-cultura/gente/2018/12/08/bertin-osborne-hunde-miseria-pablo-iglesias-no-voto-muerto-borracho-vino.shtml" TargetMode="External"/><Relationship Id="rId1602" Type="http://schemas.openxmlformats.org/officeDocument/2006/relationships/hyperlink" Target="http://pic.twitter.com/LMejRmOydb" TargetMode="External"/><Relationship Id="rId183" Type="http://schemas.openxmlformats.org/officeDocument/2006/relationships/hyperlink" Target="https://blogs.publico.es/dominiopublico/27340/carta-al-tipo-que-mando-una-carta-a-pablo-iglesias/" TargetMode="External"/><Relationship Id="rId390" Type="http://schemas.openxmlformats.org/officeDocument/2006/relationships/hyperlink" Target="http://medicodefamiliaensuecia.blogspot.com/" TargetMode="External"/><Relationship Id="rId1907" Type="http://schemas.openxmlformats.org/officeDocument/2006/relationships/hyperlink" Target="https://pbs.twimg.com/media/DtzCJo3XcAAmLqc.jpg" TargetMode="External"/><Relationship Id="rId2071" Type="http://schemas.openxmlformats.org/officeDocument/2006/relationships/hyperlink" Target="http://www.eldiario.es/" TargetMode="External"/><Relationship Id="rId250" Type="http://schemas.openxmlformats.org/officeDocument/2006/relationships/hyperlink" Target="http://www.diarioalcazar.com/2018/12/pablo-iglesias-podria-ser-juzgado-por.html?m=1&amp;fbclid=IwAR0NzKZya142PxdvH4SJ6Z0pUxrPqlWkzR47RWCeyEXlQGXbs4Uk5ylqpzA" TargetMode="External"/><Relationship Id="rId488" Type="http://schemas.openxmlformats.org/officeDocument/2006/relationships/hyperlink" Target="http://pic.twitter.com/P5i0ysldbH" TargetMode="External"/><Relationship Id="rId695" Type="http://schemas.openxmlformats.org/officeDocument/2006/relationships/hyperlink" Target="https://trib.al/jZ2VQ3T" TargetMode="External"/><Relationship Id="rId2169" Type="http://schemas.openxmlformats.org/officeDocument/2006/relationships/hyperlink" Target="https://youtu.be/BiWDTgFsvsM" TargetMode="External"/><Relationship Id="rId2376" Type="http://schemas.openxmlformats.org/officeDocument/2006/relationships/hyperlink" Target="http://page.is/monnissima" TargetMode="External"/><Relationship Id="rId110" Type="http://schemas.openxmlformats.org/officeDocument/2006/relationships/hyperlink" Target="https://pbs.twimg.com/media/Dt5xLT5X4AA07Fj.jpg" TargetMode="External"/><Relationship Id="rId348" Type="http://schemas.openxmlformats.org/officeDocument/2006/relationships/hyperlink" Target="http://www.elmundo.es/baleares.html" TargetMode="External"/><Relationship Id="rId555" Type="http://schemas.openxmlformats.org/officeDocument/2006/relationships/hyperlink" Target="https://www.elmundo.es/baleares/2018/12/07/5c0a31e8fc6c83ee428b45c5.html" TargetMode="External"/><Relationship Id="rId762" Type="http://schemas.openxmlformats.org/officeDocument/2006/relationships/hyperlink" Target="https://pbs.twimg.com/media/Dt2nLMIXgAYIweK.jpg" TargetMode="External"/><Relationship Id="rId1185" Type="http://schemas.openxmlformats.org/officeDocument/2006/relationships/hyperlink" Target="https://okdiario.com/espana/2018/12/05/foros-militancia-podemos-arden-contra-iglesias-pablo-callate-haz-autocritica-3427399" TargetMode="External"/><Relationship Id="rId1392" Type="http://schemas.openxmlformats.org/officeDocument/2006/relationships/hyperlink" Target="https://youtu.be/QFj42skgk1c" TargetMode="External"/><Relationship Id="rId2029" Type="http://schemas.openxmlformats.org/officeDocument/2006/relationships/hyperlink" Target="http://pic.twitter.com/g4rwbCtruA" TargetMode="External"/><Relationship Id="rId2236" Type="http://schemas.openxmlformats.org/officeDocument/2006/relationships/hyperlink" Target="https://twitter.com/MMartinEspin/status/1038777974517063681?s=19" TargetMode="External"/><Relationship Id="rId2443" Type="http://schemas.openxmlformats.org/officeDocument/2006/relationships/hyperlink" Target="https://okdiario.com/espana/2018/12/05/foros-militancia-podemos-arden-contra-iglesias-pablo-callate-haz-autocritica-3427399" TargetMode="External"/><Relationship Id="rId208" Type="http://schemas.openxmlformats.org/officeDocument/2006/relationships/hyperlink" Target="https://pbs.twimg.com/media/Dt5bx5cWsAA2_I9.jpg" TargetMode="External"/><Relationship Id="rId415" Type="http://schemas.openxmlformats.org/officeDocument/2006/relationships/hyperlink" Target="https://twitter.com/infiltradoxxx/status/1070783826413129729" TargetMode="External"/><Relationship Id="rId622" Type="http://schemas.openxmlformats.org/officeDocument/2006/relationships/hyperlink" Target="http://youtu.be/UVtmdL-8zXw?a" TargetMode="External"/><Relationship Id="rId1045" Type="http://schemas.openxmlformats.org/officeDocument/2006/relationships/hyperlink" Target="http://euskadi.ciudadanos-cs.org/category/getxo/" TargetMode="External"/><Relationship Id="rId1252" Type="http://schemas.openxmlformats.org/officeDocument/2006/relationships/hyperlink" Target="http://page.is/larevuelo53" TargetMode="External"/><Relationship Id="rId1697" Type="http://schemas.openxmlformats.org/officeDocument/2006/relationships/hyperlink" Target="https://pbs.twimg.com/media/DtumWquWwAE07nM.jpg" TargetMode="External"/><Relationship Id="rId2303" Type="http://schemas.openxmlformats.org/officeDocument/2006/relationships/hyperlink" Target="https://www.facebook.com/Javier-Barraycoa-530829093737264/" TargetMode="External"/><Relationship Id="rId2510" Type="http://schemas.openxmlformats.org/officeDocument/2006/relationships/hyperlink" Target="http://youtu.be/3eLKQ-zSPsk?a" TargetMode="External"/><Relationship Id="rId927" Type="http://schemas.openxmlformats.org/officeDocument/2006/relationships/hyperlink" Target="https://www.libremercado.com/2018-09-05/el-cinismo-de-pablo-iglesias-del-chavez-es-dios-al-venezuela-no-existe-1276624386/" TargetMode="External"/><Relationship Id="rId1112" Type="http://schemas.openxmlformats.org/officeDocument/2006/relationships/hyperlink" Target="https://twitter.com/indisioux/status/1070804149732806657" TargetMode="External"/><Relationship Id="rId1557" Type="http://schemas.openxmlformats.org/officeDocument/2006/relationships/hyperlink" Target="https://www.facebook.com/podemosarteixo/videos/311668159684020/" TargetMode="External"/><Relationship Id="rId1764" Type="http://schemas.openxmlformats.org/officeDocument/2006/relationships/hyperlink" Target="https://goo.gl/images/9Z7V77" TargetMode="External"/><Relationship Id="rId1971" Type="http://schemas.openxmlformats.org/officeDocument/2006/relationships/hyperlink" Target="https://pbs.twimg.com/media/DtymcCeVsAAOJei.jpg" TargetMode="External"/><Relationship Id="rId56" Type="http://schemas.openxmlformats.org/officeDocument/2006/relationships/hyperlink" Target="https://pbs.twimg.com/media/Dt58KvVWkAEPK07.jpg" TargetMode="External"/><Relationship Id="rId1417" Type="http://schemas.openxmlformats.org/officeDocument/2006/relationships/hyperlink" Target="https://www.facebook.com/victoriandres" TargetMode="External"/><Relationship Id="rId1624" Type="http://schemas.openxmlformats.org/officeDocument/2006/relationships/hyperlink" Target="https://youtu.be/6A3AS5oavA0" TargetMode="External"/><Relationship Id="rId1831" Type="http://schemas.openxmlformats.org/officeDocument/2006/relationships/hyperlink" Target="https://www.elconfidencial.com/espana/2018-12-06/aniversario-constitucion-pablo-iglesias-podemos-rey-juan-carlos_1690826/?utm_campaign=BotoneraWebapp&amp;utm_source=twitter&amp;utm_medium=social" TargetMode="External"/><Relationship Id="rId1929" Type="http://schemas.openxmlformats.org/officeDocument/2006/relationships/hyperlink" Target="https://www.elconfidencial.com/elecciones-andalucia/2018-12-07/vox-mensaje-andalucia-toros-caza-malaga-pueblos-rojos_1689270/" TargetMode="External"/><Relationship Id="rId2093" Type="http://schemas.openxmlformats.org/officeDocument/2006/relationships/hyperlink" Target="https://www.20minutos.es/noticia/3508831/0/carta-viral-abierta-andaluz-medico-pablo-iglesias-cuando-usted-predica-pobreza-pero-compra-chale-nace-fascista-elecciones-andalucia-2018-podemos-vox/?utm_source=facebook.com&amp;utm_medium=socialshare&amp;utm_campaign=mobile_amp" TargetMode="External"/><Relationship Id="rId2398" Type="http://schemas.openxmlformats.org/officeDocument/2006/relationships/hyperlink" Target="https://pbs.twimg.com/media/Dtt0W5LXQAALW4q.jpg" TargetMode="External"/><Relationship Id="rId272" Type="http://schemas.openxmlformats.org/officeDocument/2006/relationships/hyperlink" Target="http://www.ikusle.com/" TargetMode="External"/><Relationship Id="rId577" Type="http://schemas.openxmlformats.org/officeDocument/2006/relationships/hyperlink" Target="https://blogs.publico.es/dominiopublico/27340/carta-al-tipo-que-mando-una-carta-a-pablo-iglesias/" TargetMode="External"/><Relationship Id="rId2160" Type="http://schemas.openxmlformats.org/officeDocument/2006/relationships/hyperlink" Target="http://www.sumarium.es/" TargetMode="External"/><Relationship Id="rId2258" Type="http://schemas.openxmlformats.org/officeDocument/2006/relationships/hyperlink" Target="https://okdiario.com/espana/2018/12/06/pablo-iglesias-reivindica-republica-como-solucion-problemas-espana-3435080?utm_campaign=ok&amp;utm_medium=Social&amp;utm_source=Facebook" TargetMode="External"/><Relationship Id="rId132" Type="http://schemas.openxmlformats.org/officeDocument/2006/relationships/hyperlink" Target="https://pbs.twimg.com/media/Dt5s3bgXgAE0qSx.png" TargetMode="External"/><Relationship Id="rId784" Type="http://schemas.openxmlformats.org/officeDocument/2006/relationships/hyperlink" Target="http://www.diarioalcazar.com/2018/12/pablo-iglesias-podria-ser-juzgado-por.html" TargetMode="External"/><Relationship Id="rId991" Type="http://schemas.openxmlformats.org/officeDocument/2006/relationships/hyperlink" Target="https://pbs.twimg.com/media/DtzyWnsX4AAc7HA.jpg" TargetMode="External"/><Relationship Id="rId1067" Type="http://schemas.openxmlformats.org/officeDocument/2006/relationships/hyperlink" Target="https://twitter.com/infiltradoxxx/status/1070783826413129729" TargetMode="External"/><Relationship Id="rId2020" Type="http://schemas.openxmlformats.org/officeDocument/2006/relationships/hyperlink" Target="https://pbs.twimg.com/media/Dtp7hGmW0AACW4H.jpg" TargetMode="External"/><Relationship Id="rId2465" Type="http://schemas.openxmlformats.org/officeDocument/2006/relationships/hyperlink" Target="http://copiajuridica.es/2018/12/06/errejon-se-revuelve-contra-iglesias-y-ningunea-su-alerta-antifascista" TargetMode="External"/><Relationship Id="rId437" Type="http://schemas.openxmlformats.org/officeDocument/2006/relationships/hyperlink" Target="https://www.elconfidencialdigital.com/articulo/politica/medidas-revitalizar-congreso-diputados-ap" TargetMode="External"/><Relationship Id="rId644" Type="http://schemas.openxmlformats.org/officeDocument/2006/relationships/hyperlink" Target="http://www.malostratosfalsos.com/" TargetMode="External"/><Relationship Id="rId851" Type="http://schemas.openxmlformats.org/officeDocument/2006/relationships/hyperlink" Target="https://pbs.twimg.com/media/Dt2QEjOUwAAaUEA.jpg" TargetMode="External"/><Relationship Id="rId1274" Type="http://schemas.openxmlformats.org/officeDocument/2006/relationships/hyperlink" Target="http://pic.twitter.com/nrkUifYoLr" TargetMode="External"/><Relationship Id="rId1481" Type="http://schemas.openxmlformats.org/officeDocument/2006/relationships/hyperlink" Target="https://twitter.com/raimundoabando/status/1071029027182428160" TargetMode="External"/><Relationship Id="rId1579" Type="http://schemas.openxmlformats.org/officeDocument/2006/relationships/hyperlink" Target="http://www.sumarium.es/" TargetMode="External"/><Relationship Id="rId2118" Type="http://schemas.openxmlformats.org/officeDocument/2006/relationships/hyperlink" Target="https://goo.gl/MUc9sh" TargetMode="External"/><Relationship Id="rId2325" Type="http://schemas.openxmlformats.org/officeDocument/2006/relationships/hyperlink" Target="http://www.sumarium.es/" TargetMode="External"/><Relationship Id="rId2532" Type="http://schemas.openxmlformats.org/officeDocument/2006/relationships/hyperlink" Target="http://a.msn.com/01/es-es/BBQzGwm?ocid=st" TargetMode="External"/><Relationship Id="rId504" Type="http://schemas.openxmlformats.org/officeDocument/2006/relationships/hyperlink" Target="https://blogs.publico.es/dominiopublico/27340/carta-al-tipo-que-mando-una-carta-a-pablo-iglesias/" TargetMode="External"/><Relationship Id="rId711" Type="http://schemas.openxmlformats.org/officeDocument/2006/relationships/hyperlink" Target="http://lafamiliadedios.wordpress.com/" TargetMode="External"/><Relationship Id="rId949" Type="http://schemas.openxmlformats.org/officeDocument/2006/relationships/hyperlink" Target="https://pbs.twimg.com/media/Dt160ywW4AAOK2w.jpg" TargetMode="External"/><Relationship Id="rId1134" Type="http://schemas.openxmlformats.org/officeDocument/2006/relationships/hyperlink" Target="https://podemos.info/" TargetMode="External"/><Relationship Id="rId1341" Type="http://schemas.openxmlformats.org/officeDocument/2006/relationships/hyperlink" Target="https://www.youtube.com/watch?v=ovQyfpW1sYE" TargetMode="External"/><Relationship Id="rId1786" Type="http://schemas.openxmlformats.org/officeDocument/2006/relationships/hyperlink" Target="https://www.elsebas.net/pablo-iglesias-la-mejor-vacuna-para-no-volver-al-pasado-es-una-republica-feminista/" TargetMode="External"/><Relationship Id="rId1993" Type="http://schemas.openxmlformats.org/officeDocument/2006/relationships/hyperlink" Target="http://www.inselca.com/" TargetMode="External"/><Relationship Id="rId78" Type="http://schemas.openxmlformats.org/officeDocument/2006/relationships/hyperlink" Target="https://www.periodistadigital.com/ocio-y-cultura/gente/2018/12/08/bertin-osborne-hunde-miseria-pablo-iglesias-no-voto-muerto-borracho-vino.shtml" TargetMode="External"/><Relationship Id="rId809" Type="http://schemas.openxmlformats.org/officeDocument/2006/relationships/hyperlink" Target="https://casoaislado.com/la-incitacion-al-odio-contra-vox-de-pablo-iglesias-deja-sus-primeras-victimas-dos-afiliados-son-agredidos-en-murcia/" TargetMode="External"/><Relationship Id="rId1201" Type="http://schemas.openxmlformats.org/officeDocument/2006/relationships/hyperlink" Target="http://chng.it/zPj6yXBj" TargetMode="External"/><Relationship Id="rId1439" Type="http://schemas.openxmlformats.org/officeDocument/2006/relationships/hyperlink" Target="https://www.amazon.es/Libros-Pablo-Iglesias-Turri%C3%B3n/s?ie=UTF8&amp;page=1&amp;rh=n%3A599364031%2Cp_27%3APablo%20Iglesias%20Turri%C3%B3n" TargetMode="External"/><Relationship Id="rId1646" Type="http://schemas.openxmlformats.org/officeDocument/2006/relationships/hyperlink" Target="https://www.behance.net/rafgl" TargetMode="External"/><Relationship Id="rId1853" Type="http://schemas.openxmlformats.org/officeDocument/2006/relationships/hyperlink" Target="https://twitter.com/numer344/status/1070725609188417541" TargetMode="External"/><Relationship Id="rId1506" Type="http://schemas.openxmlformats.org/officeDocument/2006/relationships/hyperlink" Target="http://pic.twitter.com/20yF6WPkHy" TargetMode="External"/><Relationship Id="rId1713" Type="http://schemas.openxmlformats.org/officeDocument/2006/relationships/hyperlink" Target="https://mediterraneodigital.com/espana/comunidad-de-madrid/pablo-iglesias-me-da-vergueenza-como-espanol-que-exista-vox.html" TargetMode="External"/><Relationship Id="rId1920" Type="http://schemas.openxmlformats.org/officeDocument/2006/relationships/hyperlink" Target="https://www.elconfidencial.com/espana/2018-12-06/aniversario-constitucion-pablo-iglesias-podemos-rey-juan-carlos_1690826/?utm_source=twitter&amp;utm_medium=social&amp;utm_campaign=BotoneraWeb" TargetMode="External"/><Relationship Id="rId294" Type="http://schemas.openxmlformats.org/officeDocument/2006/relationships/hyperlink" Target="https://youtu.be/UVtmdL-8zXw" TargetMode="External"/><Relationship Id="rId2182" Type="http://schemas.openxmlformats.org/officeDocument/2006/relationships/hyperlink" Target="https://youtu.be/q_0E5BnCQg0" TargetMode="External"/><Relationship Id="rId154" Type="http://schemas.openxmlformats.org/officeDocument/2006/relationships/hyperlink" Target="http://franciscojsegoviaramos.blogspot.com.es/" TargetMode="External"/><Relationship Id="rId361" Type="http://schemas.openxmlformats.org/officeDocument/2006/relationships/hyperlink" Target="http://pic.twitter.com/FQPWEhZUXZ" TargetMode="External"/><Relationship Id="rId599" Type="http://schemas.openxmlformats.org/officeDocument/2006/relationships/hyperlink" Target="https://blogs.publico.es/dominiopublico/27340/carta-al-tipo-que-mando-una-carta-a-pablo-iglesias/" TargetMode="External"/><Relationship Id="rId2042" Type="http://schemas.openxmlformats.org/officeDocument/2006/relationships/hyperlink" Target="https://www.20minutos.es/noticia/3508831/0/carta-viral-abierta-andaluz-medico-pablo-iglesias-cuando-usted-predica-pobreza-pero-compra-chale-nace-fascista-elecciones-andalucia-2018-podemos-vox/?utm_source=twitter.com&amp;utm_medium=socialshare&amp;utm_campaign=mobile_amp" TargetMode="External"/><Relationship Id="rId2487" Type="http://schemas.openxmlformats.org/officeDocument/2006/relationships/hyperlink" Target="http://pic.twitter.com/20yF6WPkHy" TargetMode="External"/><Relationship Id="rId459" Type="http://schemas.openxmlformats.org/officeDocument/2006/relationships/hyperlink" Target="http://pic.twitter.com/Ik4oKNNkBZ" TargetMode="External"/><Relationship Id="rId666" Type="http://schemas.openxmlformats.org/officeDocument/2006/relationships/hyperlink" Target="https://www.elmundo.es/loc/famosos/2018/12/08/5c0a3ffffc6c8320198b45e5.html" TargetMode="External"/><Relationship Id="rId873" Type="http://schemas.openxmlformats.org/officeDocument/2006/relationships/hyperlink" Target="http://pic.twitter.com/INCycOECXB" TargetMode="External"/><Relationship Id="rId1089" Type="http://schemas.openxmlformats.org/officeDocument/2006/relationships/hyperlink" Target="https://elpais.com/politica/2018/11/28/actualidad/1543424221_050040.html?id_externo_rsoc=TW_CC" TargetMode="External"/><Relationship Id="rId1296" Type="http://schemas.openxmlformats.org/officeDocument/2006/relationships/hyperlink" Target="https://pbs.twimg.com/media/Dtuq4NyWwAA4MTs.jpg" TargetMode="External"/><Relationship Id="rId2347" Type="http://schemas.openxmlformats.org/officeDocument/2006/relationships/hyperlink" Target="https://www.facebook.com/chuladehuelva/posts/2202188419806067" TargetMode="External"/><Relationship Id="rId2554" Type="http://schemas.openxmlformats.org/officeDocument/2006/relationships/hyperlink" Target="http://www.eldiariohoy.es/2018/12/macron-se-rinde-ante-los-chalecos-amarillos-y-suspende-la-subida-del-impuesto-a-los-carburantes.html" TargetMode="External"/><Relationship Id="rId221" Type="http://schemas.openxmlformats.org/officeDocument/2006/relationships/hyperlink" Target="http://www.ramblalibre.com/" TargetMode="External"/><Relationship Id="rId319" Type="http://schemas.openxmlformats.org/officeDocument/2006/relationships/hyperlink" Target="https://pbs.twimg.com/media/Dt5IXb8WwAAXKDJ.jpg" TargetMode="External"/><Relationship Id="rId526" Type="http://schemas.openxmlformats.org/officeDocument/2006/relationships/hyperlink" Target="https://twitter.com/AdraColacau/status/1071074566691307521" TargetMode="External"/><Relationship Id="rId1156" Type="http://schemas.openxmlformats.org/officeDocument/2006/relationships/hyperlink" Target="http://centralnd.com.mx/articulos/cierran-av-ninos-heroes-en-vdea-por-obra-del-colector-pluvial-iglesias" TargetMode="External"/><Relationship Id="rId1363" Type="http://schemas.openxmlformats.org/officeDocument/2006/relationships/hyperlink" Target="https://www.facebook.com/angelmigeva/" TargetMode="External"/><Relationship Id="rId2207" Type="http://schemas.openxmlformats.org/officeDocument/2006/relationships/hyperlink" Target="http://goo.gl/alerts/Nh1Q3" TargetMode="External"/><Relationship Id="rId733" Type="http://schemas.openxmlformats.org/officeDocument/2006/relationships/hyperlink" Target="http://dlvr.it/Qt6HCk" TargetMode="External"/><Relationship Id="rId940" Type="http://schemas.openxmlformats.org/officeDocument/2006/relationships/hyperlink" Target="https://pbs.twimg.com/media/Dt19PrBWsAAWV87.jpg" TargetMode="External"/><Relationship Id="rId1016" Type="http://schemas.openxmlformats.org/officeDocument/2006/relationships/hyperlink" Target="http://rbaltasar.blogspot.com.es/" TargetMode="External"/><Relationship Id="rId1570" Type="http://schemas.openxmlformats.org/officeDocument/2006/relationships/hyperlink" Target="https://contrainformacion.es/iu-y-el-pce-presentan-una-querella-contra-entre-otros-el-rey-emerito-porque-esta-monarquia-no-es-trigo-limpio-aunque-hoy-nos-den-lecciones-de-democracia/" TargetMode="External"/><Relationship Id="rId1668" Type="http://schemas.openxmlformats.org/officeDocument/2006/relationships/hyperlink" Target="https://www.facebook.com/profile.php?id=100011075051553" TargetMode="External"/><Relationship Id="rId1875" Type="http://schemas.openxmlformats.org/officeDocument/2006/relationships/hyperlink" Target="https://twitter.com/bcnisnotcat_/status/1070801745968852992" TargetMode="External"/><Relationship Id="rId2414" Type="http://schemas.openxmlformats.org/officeDocument/2006/relationships/hyperlink" Target="http://pic.twitter.com/RJJ2d3VWxh" TargetMode="External"/><Relationship Id="rId800" Type="http://schemas.openxmlformats.org/officeDocument/2006/relationships/hyperlink" Target="http://www.outono.net/elentir/2018/12/07/el-rey-llamo-a-pablo-iglesias-para-preocuparse-por-sus-hijos-y-asi-se-lo-ha-agradecido-iglesias/" TargetMode="External"/><Relationship Id="rId1223" Type="http://schemas.openxmlformats.org/officeDocument/2006/relationships/hyperlink" Target="https://twitter.com/infiltradoxxx/status/1070783826413129729" TargetMode="External"/><Relationship Id="rId1430" Type="http://schemas.openxmlformats.org/officeDocument/2006/relationships/hyperlink" Target="https://okdiario.com/espana/2018/12/07/iglesias-da-razon-abascal-derecho-portar-armas-bases-democracia-3438627" TargetMode="External"/><Relationship Id="rId1528" Type="http://schemas.openxmlformats.org/officeDocument/2006/relationships/hyperlink" Target="https://twitter.com/infiltradoxxx/status/1070783826413129729" TargetMode="External"/><Relationship Id="rId1735" Type="http://schemas.openxmlformats.org/officeDocument/2006/relationships/hyperlink" Target="https://innovadores.larazon.es/es/not/hyperloop-apuesta-ahora-por-el-sector-naviero" TargetMode="External"/><Relationship Id="rId1942" Type="http://schemas.openxmlformats.org/officeDocument/2006/relationships/hyperlink" Target="http://pic.twitter.com/HVD6msgDY1" TargetMode="External"/><Relationship Id="rId27" Type="http://schemas.openxmlformats.org/officeDocument/2006/relationships/hyperlink" Target="http://www.ramblalibre.com/" TargetMode="External"/><Relationship Id="rId1802" Type="http://schemas.openxmlformats.org/officeDocument/2006/relationships/hyperlink" Target="https://twitter.com/hispanovisigoda/status/1070637285853540352" TargetMode="External"/><Relationship Id="rId176" Type="http://schemas.openxmlformats.org/officeDocument/2006/relationships/hyperlink" Target="http://pic.twitter.com/zq4IxlQ7iQ" TargetMode="External"/><Relationship Id="rId383" Type="http://schemas.openxmlformats.org/officeDocument/2006/relationships/hyperlink" Target="http://youtu.be/JCGOEUOqveQ?a" TargetMode="External"/><Relationship Id="rId590" Type="http://schemas.openxmlformats.org/officeDocument/2006/relationships/hyperlink" Target="http://www.psoesanpedroalcantara.es/" TargetMode="External"/><Relationship Id="rId2064" Type="http://schemas.openxmlformats.org/officeDocument/2006/relationships/hyperlink" Target="https://pbs.twimg.com/media/DtwOJdvW0AAjsCb.jpg" TargetMode="External"/><Relationship Id="rId2271" Type="http://schemas.openxmlformats.org/officeDocument/2006/relationships/hyperlink" Target="https://pbs.twimg.com/media/Dtw58fjUUAA5WeZ.jpg" TargetMode="External"/><Relationship Id="rId243" Type="http://schemas.openxmlformats.org/officeDocument/2006/relationships/hyperlink" Target="https://pbs.twimg.com/media/Dt5TI8AXQAAG_1-.jpg" TargetMode="External"/><Relationship Id="rId450" Type="http://schemas.openxmlformats.org/officeDocument/2006/relationships/hyperlink" Target="https://youtu.be/UVtmdL-8zXw" TargetMode="External"/><Relationship Id="rId688" Type="http://schemas.openxmlformats.org/officeDocument/2006/relationships/hyperlink" Target="https://www.elmundo.es/espana/2018/12/08/5c0ac8e121efa09c2f8b45f9.html" TargetMode="External"/><Relationship Id="rId895" Type="http://schemas.openxmlformats.org/officeDocument/2006/relationships/hyperlink" Target="http://www.noticierouniversal.com/" TargetMode="External"/><Relationship Id="rId1080" Type="http://schemas.openxmlformats.org/officeDocument/2006/relationships/hyperlink" Target="http://participa.podemos.info/" TargetMode="External"/><Relationship Id="rId2131" Type="http://schemas.openxmlformats.org/officeDocument/2006/relationships/hyperlink" Target="https://slowfoodfastcooking.blogspot.com.es/?m=" TargetMode="External"/><Relationship Id="rId2369" Type="http://schemas.openxmlformats.org/officeDocument/2006/relationships/hyperlink" Target="http://dlvr.it/Qt0xhn" TargetMode="External"/><Relationship Id="rId103" Type="http://schemas.openxmlformats.org/officeDocument/2006/relationships/hyperlink" Target="https://casoaislado.com/miles-de-espanoles-firman-para-que-pablo-iglesias-sea-condenado-a-prision-por-delito-de-odio-contra-vox/" TargetMode="External"/><Relationship Id="rId310" Type="http://schemas.openxmlformats.org/officeDocument/2006/relationships/hyperlink" Target="https://www.que.es/listas/asi-es-el-belen-que-incluye-desde-el-chalet-de-pablo-iglesias-a-susana-diaz-o-concursantes-de-ot.html" TargetMode="External"/><Relationship Id="rId548" Type="http://schemas.openxmlformats.org/officeDocument/2006/relationships/hyperlink" Target="https://blogs.publico.es/dominiopublico/27340/carta-al-tipo-que-mando-una-carta-a-pablo-iglesias/" TargetMode="External"/><Relationship Id="rId755" Type="http://schemas.openxmlformats.org/officeDocument/2006/relationships/hyperlink" Target="https://www.abc.es/estilo/gente/abci-twitter-fran-rivera-llama-golfo-pablo-iglesias-tras-elecciones-andaluzas-201812041148_noticia.html" TargetMode="External"/><Relationship Id="rId962" Type="http://schemas.openxmlformats.org/officeDocument/2006/relationships/hyperlink" Target="https://youtu.be/Msk5PBxuCgE" TargetMode="External"/><Relationship Id="rId1178" Type="http://schemas.openxmlformats.org/officeDocument/2006/relationships/hyperlink" Target="https://pbs.twimg.com/media/Dt1K1EnW4AYPlSQ.jpg" TargetMode="External"/><Relationship Id="rId1385" Type="http://schemas.openxmlformats.org/officeDocument/2006/relationships/hyperlink" Target="https://contrainformacion.es/iu-y-el-pce-presentan-una-querella-contra-entre-otros-el-rey-emerito-porque-esta-monarquia-no-es-trigo-limpio-aunque-hoy-nos-den-lecciones-de-democracia/" TargetMode="External"/><Relationship Id="rId1592" Type="http://schemas.openxmlformats.org/officeDocument/2006/relationships/hyperlink" Target="https://www.mediterraneodigital.com/espana/comunidad-de-madrid/pablo-iglesias-me-da-vergueenza-como-espanol-que-exista-vox.html" TargetMode="External"/><Relationship Id="rId2229" Type="http://schemas.openxmlformats.org/officeDocument/2006/relationships/hyperlink" Target="http://www.larazon.es/" TargetMode="External"/><Relationship Id="rId2436" Type="http://schemas.openxmlformats.org/officeDocument/2006/relationships/hyperlink" Target="https://pbs.twimg.com/media/DtwmvJtW0AA4W_2.jpg" TargetMode="External"/><Relationship Id="rId91" Type="http://schemas.openxmlformats.org/officeDocument/2006/relationships/hyperlink" Target="https://www.periodistadigital.com/ocio-y-cultura/gente/2018/12/08/bertin-osborne-hunde-miseria-pablo-iglesias-no-voto-muerto-borracho-vino.shtml" TargetMode="External"/><Relationship Id="rId408" Type="http://schemas.openxmlformats.org/officeDocument/2006/relationships/hyperlink" Target="http://www.defenemvalencia.es/" TargetMode="External"/><Relationship Id="rId615" Type="http://schemas.openxmlformats.org/officeDocument/2006/relationships/hyperlink" Target="https://twitter.com/arte_3046/status/1071303960512876544" TargetMode="External"/><Relationship Id="rId822" Type="http://schemas.openxmlformats.org/officeDocument/2006/relationships/hyperlink" Target="https://elpais.com/politica/2018/11/28/actualidad/1543424221_050040.html" TargetMode="External"/><Relationship Id="rId1038" Type="http://schemas.openxmlformats.org/officeDocument/2006/relationships/hyperlink" Target="https://youtu.be/AKvI5KLJ3DA" TargetMode="External"/><Relationship Id="rId1245" Type="http://schemas.openxmlformats.org/officeDocument/2006/relationships/hyperlink" Target="http://www.multiforo.eu/" TargetMode="External"/><Relationship Id="rId1452" Type="http://schemas.openxmlformats.org/officeDocument/2006/relationships/hyperlink" Target="https://twitter.com/OrbitaEduardo/status/1070791475988975617" TargetMode="External"/><Relationship Id="rId1897" Type="http://schemas.openxmlformats.org/officeDocument/2006/relationships/hyperlink" Target="http://pic.twitter.com/mlYPjeghQY" TargetMode="External"/><Relationship Id="rId2503" Type="http://schemas.openxmlformats.org/officeDocument/2006/relationships/hyperlink" Target="https://afectadosporlascooperativas.wordpress.com/" TargetMode="External"/><Relationship Id="rId1105" Type="http://schemas.openxmlformats.org/officeDocument/2006/relationships/hyperlink" Target="http://derechosocultosespana.blogspot.com.es/2018/05/mientras-no-consigamos-entre-todos-ese.html" TargetMode="External"/><Relationship Id="rId1312" Type="http://schemas.openxmlformats.org/officeDocument/2006/relationships/hyperlink" Target="https://www.mediterraneodigital.com/espana/comunidad-de-madrid/pablo-iglesias-me-da-vergueenza-como-espanol-que-exista-vox.html" TargetMode="External"/><Relationship Id="rId1757" Type="http://schemas.openxmlformats.org/officeDocument/2006/relationships/hyperlink" Target="https://www.facebook.com/profile.php?id=100011075051553" TargetMode="External"/><Relationship Id="rId1964" Type="http://schemas.openxmlformats.org/officeDocument/2006/relationships/hyperlink" Target="http://www.joelhirst.com/" TargetMode="External"/><Relationship Id="rId49" Type="http://schemas.openxmlformats.org/officeDocument/2006/relationships/hyperlink" Target="http://dlvr.it/Qt8BDx" TargetMode="External"/><Relationship Id="rId114" Type="http://schemas.openxmlformats.org/officeDocument/2006/relationships/hyperlink" Target="http://dlvr.it/Qt82Kj" TargetMode="External"/><Relationship Id="rId461" Type="http://schemas.openxmlformats.org/officeDocument/2006/relationships/hyperlink" Target="https://www.periodistadigital.com/ocio-y-cultura/gente/2018/12/08/bertin-osborne-hunde-miseria-pablo-iglesias-no-voto-muerto-borracho-vino.shtml" TargetMode="External"/><Relationship Id="rId559" Type="http://schemas.openxmlformats.org/officeDocument/2006/relationships/hyperlink" Target="http://lasilenciosacat.es/" TargetMode="External"/><Relationship Id="rId766" Type="http://schemas.openxmlformats.org/officeDocument/2006/relationships/hyperlink" Target="https://www.eldiestro.es/2018/12/fran-rivera-lanza-un-merecido-mensaje-al-golfo-de-pablo-iglesias/" TargetMode="External"/><Relationship Id="rId1189" Type="http://schemas.openxmlformats.org/officeDocument/2006/relationships/hyperlink" Target="https://www.publico.es/publico-tv/directo/728460/otra-vuelta-de-tuerka-7-de-diciembre-de-2018" TargetMode="External"/><Relationship Id="rId1396" Type="http://schemas.openxmlformats.org/officeDocument/2006/relationships/hyperlink" Target="https://twitter.com/FierabrasCorso/status/1071045152939106305" TargetMode="External"/><Relationship Id="rId1617" Type="http://schemas.openxmlformats.org/officeDocument/2006/relationships/hyperlink" Target="https://www.abc.es/internacional/abci-maduro-ofrece-pernil-y-tres-euros-voten-elecciones-municipales-domingo-201812070313_noticia.html" TargetMode="External"/><Relationship Id="rId1824" Type="http://schemas.openxmlformats.org/officeDocument/2006/relationships/hyperlink" Target="http://contrainformacion.es/" TargetMode="External"/><Relationship Id="rId2142" Type="http://schemas.openxmlformats.org/officeDocument/2006/relationships/hyperlink" Target="http://www.futbolaragones.com/" TargetMode="External"/><Relationship Id="rId2447" Type="http://schemas.openxmlformats.org/officeDocument/2006/relationships/hyperlink" Target="http://wp.me/p76pmQ-rj" TargetMode="External"/><Relationship Id="rId198" Type="http://schemas.openxmlformats.org/officeDocument/2006/relationships/hyperlink" Target="http://pic.twitter.com/c77Ng4N0u5" TargetMode="External"/><Relationship Id="rId321" Type="http://schemas.openxmlformats.org/officeDocument/2006/relationships/hyperlink" Target="https://www.huffingtonpost.es/2018/12/07/el-dardo-de-bertin-osborne-a-gabriel-rufian-y-pablo-iglesias-espana-es-el-pais-con-mas-politicos-idiotas-por-metro-cuadrado_a_23611885/?ncid=other_twitter_cooo9wqtham&amp;utm_campaign=share_twitter" TargetMode="External"/><Relationship Id="rId419" Type="http://schemas.openxmlformats.org/officeDocument/2006/relationships/hyperlink" Target="https://blogs.publico.es/dominiopublico/27340/carta-al-tipo-que-mando-una-carta-a-pablo-iglesias/" TargetMode="External"/><Relationship Id="rId626" Type="http://schemas.openxmlformats.org/officeDocument/2006/relationships/hyperlink" Target="https://www.elmundo.es/loc/famosos/2018/12/08/5c0a3ffffc6c8320198b45e5.html" TargetMode="External"/><Relationship Id="rId973" Type="http://schemas.openxmlformats.org/officeDocument/2006/relationships/hyperlink" Target="http://encuestas.symmachia.es/encuestas/politica/esta-incitando-a-la-violencia-pablo-iglesias-contra-la-extrema-derecha/" TargetMode="External"/><Relationship Id="rId1049" Type="http://schemas.openxmlformats.org/officeDocument/2006/relationships/hyperlink" Target="https://pbs.twimg.com/media/Dt1oMp0XQAAgeWG.jpg" TargetMode="External"/><Relationship Id="rId1256" Type="http://schemas.openxmlformats.org/officeDocument/2006/relationships/hyperlink" Target="https://pbs.twimg.com/media/Dt0_j-lXgAYhIq-.jpg" TargetMode="External"/><Relationship Id="rId2002" Type="http://schemas.openxmlformats.org/officeDocument/2006/relationships/hyperlink" Target="https://profiles.google.com/abelfranc" TargetMode="External"/><Relationship Id="rId2086" Type="http://schemas.openxmlformats.org/officeDocument/2006/relationships/hyperlink" Target="https://twitter.com/alwaysfree86/status/1070299080906211329" TargetMode="External"/><Relationship Id="rId2307" Type="http://schemas.openxmlformats.org/officeDocument/2006/relationships/hyperlink" Target="https://pbs.twimg.com/media/Dtw1Lq1XcAEvyhM.jpg" TargetMode="External"/><Relationship Id="rId833" Type="http://schemas.openxmlformats.org/officeDocument/2006/relationships/hyperlink" Target="https://casoaislado.com/la-incitacion-al-odio-contra-vox-de-pablo-iglesias-deja-sus-primeras-victimas-dos-afiliados-son-agredidos-en-murcia/" TargetMode="External"/><Relationship Id="rId1116" Type="http://schemas.openxmlformats.org/officeDocument/2006/relationships/hyperlink" Target="http://www.frenoaltiempo.com/" TargetMode="External"/><Relationship Id="rId1463" Type="http://schemas.openxmlformats.org/officeDocument/2006/relationships/hyperlink" Target="http://pic.twitter.com/UMoD6NzgmO" TargetMode="External"/><Relationship Id="rId1670" Type="http://schemas.openxmlformats.org/officeDocument/2006/relationships/hyperlink" Target="https://www.cope.es/n/305899" TargetMode="External"/><Relationship Id="rId1768" Type="http://schemas.openxmlformats.org/officeDocument/2006/relationships/hyperlink" Target="http://gaab75.blogspot.com/" TargetMode="External"/><Relationship Id="rId2293" Type="http://schemas.openxmlformats.org/officeDocument/2006/relationships/hyperlink" Target="http://goo.gl/MUc9sh" TargetMode="External"/><Relationship Id="rId2514" Type="http://schemas.openxmlformats.org/officeDocument/2006/relationships/hyperlink" Target="https://www.20minutos.es/" TargetMode="External"/><Relationship Id="rId265" Type="http://schemas.openxmlformats.org/officeDocument/2006/relationships/hyperlink" Target="https://www.periodistadigital.com/ocio-y-cultura/gente/2018/12/08/bertin-osborne-hunde-miseria-pablo-iglesias-no-voto-muerto-borracho-vino.shtml" TargetMode="External"/><Relationship Id="rId472" Type="http://schemas.openxmlformats.org/officeDocument/2006/relationships/hyperlink" Target="https://www.elmundo.es/baleares/2018/12/07/5c0a31e8fc6c83ee428b45c5.html" TargetMode="External"/><Relationship Id="rId900" Type="http://schemas.openxmlformats.org/officeDocument/2006/relationships/hyperlink" Target="https://afectadosatresmedia.blogspot.com.es/" TargetMode="External"/><Relationship Id="rId1323" Type="http://schemas.openxmlformats.org/officeDocument/2006/relationships/hyperlink" Target="http://verdaderaizquierda.blogspot.com/" TargetMode="External"/><Relationship Id="rId1530" Type="http://schemas.openxmlformats.org/officeDocument/2006/relationships/hyperlink" Target="https://www.facebook.com/story.php?story_fbid=10155607907951199&amp;id=510371198" TargetMode="External"/><Relationship Id="rId1628" Type="http://schemas.openxmlformats.org/officeDocument/2006/relationships/hyperlink" Target="http://eldebate.es/" TargetMode="External"/><Relationship Id="rId1975" Type="http://schemas.openxmlformats.org/officeDocument/2006/relationships/hyperlink" Target="http://www.rtve.es/a/4876445" TargetMode="External"/><Relationship Id="rId2153" Type="http://schemas.openxmlformats.org/officeDocument/2006/relationships/hyperlink" Target="http://www.periodistadigital.com/politica/partidos-politicos/2018/12/06/un-converso-al-islam-un-analfabeto-un-cocinero-de-paellas-los-estrafalarios-rivales-de-pablo-iglesias-en-podemos.shtml" TargetMode="External"/><Relationship Id="rId2360" Type="http://schemas.openxmlformats.org/officeDocument/2006/relationships/hyperlink" Target="https://www.google.es/amp/s/amp.elmundo.es/espana/2018/07/06/5b3f957c22601da77f8b4574.html" TargetMode="External"/><Relationship Id="rId125" Type="http://schemas.openxmlformats.org/officeDocument/2006/relationships/hyperlink" Target="https://pbs.twimg.com/media/Dt5tQzZWoAEoo_w.jpg" TargetMode="External"/><Relationship Id="rId332" Type="http://schemas.openxmlformats.org/officeDocument/2006/relationships/hyperlink" Target="http://elcosaco.org/" TargetMode="External"/><Relationship Id="rId777" Type="http://schemas.openxmlformats.org/officeDocument/2006/relationships/hyperlink" Target="https://pbs.twimg.com/media/DtwB-hwXcAAuCul.jpg" TargetMode="External"/><Relationship Id="rId984" Type="http://schemas.openxmlformats.org/officeDocument/2006/relationships/hyperlink" Target="https://www.14ymedio.com/blogs/cajon_de_sastre/Carta-abierta-Pablo-Iglesias_7_2560013974.html" TargetMode="External"/><Relationship Id="rId1835" Type="http://schemas.openxmlformats.org/officeDocument/2006/relationships/hyperlink" Target="https://twitter.com/BHMental/status/1070680289591132160" TargetMode="External"/><Relationship Id="rId2013" Type="http://schemas.openxmlformats.org/officeDocument/2006/relationships/hyperlink" Target="http://www.bearwww.com/pera" TargetMode="External"/><Relationship Id="rId2220" Type="http://schemas.openxmlformats.org/officeDocument/2006/relationships/hyperlink" Target="http://www.joseluisportela.com/" TargetMode="External"/><Relationship Id="rId2458" Type="http://schemas.openxmlformats.org/officeDocument/2006/relationships/hyperlink" Target="https://okdiario.com/espana/2018/12/05/foros-militancia-podemos-arden-contra-iglesias-pablo-callate-haz-autocritica-3427399/amp" TargetMode="External"/><Relationship Id="rId637" Type="http://schemas.openxmlformats.org/officeDocument/2006/relationships/hyperlink" Target="http://www.facebook.com/susana.garis" TargetMode="External"/><Relationship Id="rId844" Type="http://schemas.openxmlformats.org/officeDocument/2006/relationships/hyperlink" Target="https://twitter.com/hospederiavc/status/1071153677245796352" TargetMode="External"/><Relationship Id="rId1267" Type="http://schemas.openxmlformats.org/officeDocument/2006/relationships/hyperlink" Target="https://twitter.com/libertaddigital/status/1071059601355927552" TargetMode="External"/><Relationship Id="rId1474" Type="http://schemas.openxmlformats.org/officeDocument/2006/relationships/hyperlink" Target="https://www.google.es/amp/s/www.lavanguardia.com/politica/20181207/453403244183/pablo-iglesias-republica-feminista-video-seo-ext.html%3ffacet=amp" TargetMode="External"/><Relationship Id="rId1681" Type="http://schemas.openxmlformats.org/officeDocument/2006/relationships/hyperlink" Target="https://www.eldiario.es/politica/Pablo-Iglesias-contrapone-republicanismo-feminista_0_843416120.html" TargetMode="External"/><Relationship Id="rId1902" Type="http://schemas.openxmlformats.org/officeDocument/2006/relationships/hyperlink" Target="https://pbs.twimg.com/media/DtzCjugWsAAgeqJ.jpg" TargetMode="External"/><Relationship Id="rId2097" Type="http://schemas.openxmlformats.org/officeDocument/2006/relationships/hyperlink" Target="https://ift.tt/2rlUqMx" TargetMode="External"/><Relationship Id="rId2318" Type="http://schemas.openxmlformats.org/officeDocument/2006/relationships/hyperlink" Target="https://www.diariovasco.com/politica/quince-encapuchados-apalean-20181204222259-nt_amp.html?__twitter_impression=true" TargetMode="External"/><Relationship Id="rId2525" Type="http://schemas.openxmlformats.org/officeDocument/2006/relationships/hyperlink" Target="https://youtu.be/SYDcIq0xzZQ" TargetMode="External"/><Relationship Id="rId276" Type="http://schemas.openxmlformats.org/officeDocument/2006/relationships/hyperlink" Target="https://www.elmundo.es/loc/famosos/2018/12/08/5c0a3ffffc6c8320198b45e5.html" TargetMode="External"/><Relationship Id="rId483" Type="http://schemas.openxmlformats.org/officeDocument/2006/relationships/hyperlink" Target="http://www.onbyte.es/" TargetMode="External"/><Relationship Id="rId690" Type="http://schemas.openxmlformats.org/officeDocument/2006/relationships/hyperlink" Target="https://pbs.twimg.com/media/Dt3yWZKWwAIsx_k.jpg" TargetMode="External"/><Relationship Id="rId704" Type="http://schemas.openxmlformats.org/officeDocument/2006/relationships/hyperlink" Target="https://goo.gl/6u5HPy?xxu44=4469347648" TargetMode="External"/><Relationship Id="rId911" Type="http://schemas.openxmlformats.org/officeDocument/2006/relationships/hyperlink" Target="http://pic.twitter.com/JNOIm4oxA8" TargetMode="External"/><Relationship Id="rId1127" Type="http://schemas.openxmlformats.org/officeDocument/2006/relationships/hyperlink" Target="http://www.antipodemosetarraseindependentistas.com/" TargetMode="External"/><Relationship Id="rId1334" Type="http://schemas.openxmlformats.org/officeDocument/2006/relationships/hyperlink" Target="https://pbs.twimg.com/media/Dt0rOA7XcAAHqnZ.jpg" TargetMode="External"/><Relationship Id="rId1541" Type="http://schemas.openxmlformats.org/officeDocument/2006/relationships/hyperlink" Target="https://www.lasvocesdelpueblo.com/podemos-no-reconocera-la-constitucion-hasta-que-espana-sea-una-republica-feminista/?fbclid=IwAR3YoW6NltiiyaxluKJmz30qluDfb0lRFv9jtcCgsqnYCZZQ8PlVHIAvRL0" TargetMode="External"/><Relationship Id="rId1779" Type="http://schemas.openxmlformats.org/officeDocument/2006/relationships/hyperlink" Target="https://youtu.be/J89ku4EBlHc" TargetMode="External"/><Relationship Id="rId1986" Type="http://schemas.openxmlformats.org/officeDocument/2006/relationships/hyperlink" Target="https://pbs.twimg.com/media/DtyL9AzW4AECvUj.jpg" TargetMode="External"/><Relationship Id="rId2164" Type="http://schemas.openxmlformats.org/officeDocument/2006/relationships/hyperlink" Target="http://www.facebook.com/mikytoytoy" TargetMode="External"/><Relationship Id="rId2371" Type="http://schemas.openxmlformats.org/officeDocument/2006/relationships/hyperlink" Target="http://www.jorgeurreta.com/" TargetMode="External"/><Relationship Id="rId40" Type="http://schemas.openxmlformats.org/officeDocument/2006/relationships/hyperlink" Target="https://www.elmundo.es/loc/famosos/2018/12/08/5c0a3ffffc6c8320198b45e5.html" TargetMode="External"/><Relationship Id="rId136" Type="http://schemas.openxmlformats.org/officeDocument/2006/relationships/hyperlink" Target="https://www.periodistadigital.com/ocio-y-cultura/gente/2018/12/08/bertin-osborne-hunde-miseria-pablo-iglesias-no-voto-muerto-borracho-vino.shtml" TargetMode="External"/><Relationship Id="rId343" Type="http://schemas.openxmlformats.org/officeDocument/2006/relationships/hyperlink" Target="https://www.facebook.com/100002355967466/posts/1958737167548130/" TargetMode="External"/><Relationship Id="rId550" Type="http://schemas.openxmlformats.org/officeDocument/2006/relationships/hyperlink" Target="https://blogs.publico.es/dominiopublico/27340/carta-al-tipo-que-mando-una-carta-a-pablo-iglesias/" TargetMode="External"/><Relationship Id="rId788" Type="http://schemas.openxmlformats.org/officeDocument/2006/relationships/hyperlink" Target="http://linkedin.com/in/luis-viguera-espejo-ba09423" TargetMode="External"/><Relationship Id="rId995" Type="http://schemas.openxmlformats.org/officeDocument/2006/relationships/hyperlink" Target="https://okdiario.com/espana/2018/12/07/vox-denuncia-agresiones-dos-afiliados-localidad-lorca-3440627" TargetMode="External"/><Relationship Id="rId1180" Type="http://schemas.openxmlformats.org/officeDocument/2006/relationships/hyperlink" Target="https://eldebate.es/politica-de-estado/las-4-menciones-a-espana-que-podemos-borro-del-discurso-de-pablo-iglesias-tras-el-2-d-20181207?utm_medium=social&amp;utm_source=twitter&amp;utm_campaign=shareweb&amp;utm_content=footer&amp;utm_origin=footer" TargetMode="External"/><Relationship Id="rId1401" Type="http://schemas.openxmlformats.org/officeDocument/2006/relationships/hyperlink" Target="https://pbs.twimg.com/media/Dtuq4NyWwAA4MTs.jpg" TargetMode="External"/><Relationship Id="rId1639" Type="http://schemas.openxmlformats.org/officeDocument/2006/relationships/hyperlink" Target="https://okdiario.com/espana/2018/12/05/foros-militancia-podemos-arden-contra-iglesias-pablo-callate-haz-autocritica-3427399" TargetMode="External"/><Relationship Id="rId1846" Type="http://schemas.openxmlformats.org/officeDocument/2006/relationships/hyperlink" Target="https://pbs.twimg.com/media/DtzO8EJWkAA9c6A.jpg" TargetMode="External"/><Relationship Id="rId2024" Type="http://schemas.openxmlformats.org/officeDocument/2006/relationships/hyperlink" Target="https://www.elconfidencial.com/espana/2018-12-06/aniversario-constitucion-pablo-iglesias-podemos-rey-juan-carlos_1690826/?utm_source=facebook&amp;utm_medium=social&amp;utm_campaign=ECDiarioManual" TargetMode="External"/><Relationship Id="rId2231" Type="http://schemas.openxmlformats.org/officeDocument/2006/relationships/hyperlink" Target="http://pic.twitter.com/mPojgJunge" TargetMode="External"/><Relationship Id="rId2469" Type="http://schemas.openxmlformats.org/officeDocument/2006/relationships/hyperlink" Target="https://twitter.com/bcnisnotcat_/status/1070375084420988929" TargetMode="External"/><Relationship Id="rId203" Type="http://schemas.openxmlformats.org/officeDocument/2006/relationships/hyperlink" Target="https://twitter.com/Libert_Democrac/status/1070672236867190785" TargetMode="External"/><Relationship Id="rId648" Type="http://schemas.openxmlformats.org/officeDocument/2006/relationships/hyperlink" Target="https://pbs.twimg.com/media/Dt4Emb8X4AASixW.jpg" TargetMode="External"/><Relationship Id="rId855" Type="http://schemas.openxmlformats.org/officeDocument/2006/relationships/hyperlink" Target="http://contracobardes.blogspot.com.es/?m=1" TargetMode="External"/><Relationship Id="rId1040" Type="http://schemas.openxmlformats.org/officeDocument/2006/relationships/hyperlink" Target="https://www.libertaddigital.com/espana/2018-12-07/vox-denuncia-una-agresion-a-dos-de-sus-afiliados-en-lorca-murcia-1276629559/" TargetMode="External"/><Relationship Id="rId1278" Type="http://schemas.openxmlformats.org/officeDocument/2006/relationships/hyperlink" Target="http://page.is/larevuelo53" TargetMode="External"/><Relationship Id="rId1485" Type="http://schemas.openxmlformats.org/officeDocument/2006/relationships/hyperlink" Target="http://okdiario.com/" TargetMode="External"/><Relationship Id="rId1692" Type="http://schemas.openxmlformats.org/officeDocument/2006/relationships/hyperlink" Target="https://www.esdiario.com/781025410/Pablo-Iglesias-se-desespera-al-quedarse-solo-en-su-caceria-al-Rey-Juan-Carlos.html" TargetMode="External"/><Relationship Id="rId1706" Type="http://schemas.openxmlformats.org/officeDocument/2006/relationships/hyperlink" Target="http://pamplonaactual.com/" TargetMode="External"/><Relationship Id="rId1913" Type="http://schemas.openxmlformats.org/officeDocument/2006/relationships/hyperlink" Target="https://www.esdiario.com/781025410/Pablo-Iglesias-se-desespera-al-quedarse-solo-en-su-caceria-al-Rey-Juan-Carlos.html" TargetMode="External"/><Relationship Id="rId2329" Type="http://schemas.openxmlformats.org/officeDocument/2006/relationships/hyperlink" Target="https://pbs.twimg.com/media/DtwyHs1W0AEWJRi.jpg" TargetMode="External"/><Relationship Id="rId2536" Type="http://schemas.openxmlformats.org/officeDocument/2006/relationships/hyperlink" Target="https://www.youtube.com/channel/UCICHqWY-pNCfFyIRxSmcCzA" TargetMode="External"/><Relationship Id="rId287" Type="http://schemas.openxmlformats.org/officeDocument/2006/relationships/hyperlink" Target="https://www.elmundo.es/baleares/2018/12/07/5c0a31e8fc6c83ee428b45c5.html" TargetMode="External"/><Relationship Id="rId410" Type="http://schemas.openxmlformats.org/officeDocument/2006/relationships/hyperlink" Target="https://pbs.twimg.com/media/Dt40wJ9WoAAa-bu.jpg" TargetMode="External"/><Relationship Id="rId494" Type="http://schemas.openxmlformats.org/officeDocument/2006/relationships/hyperlink" Target="https://www.elcorreodemadrid.com/nacional/703970350/Se-equivoca-Pablo-Iglesias-si-cree-que-va-a-asustar-a-Abascal.-Recordamos-sus-inicios-en-politica.html" TargetMode="External"/><Relationship Id="rId508" Type="http://schemas.openxmlformats.org/officeDocument/2006/relationships/hyperlink" Target="http://www.malostratosfalsos.com/" TargetMode="External"/><Relationship Id="rId715" Type="http://schemas.openxmlformats.org/officeDocument/2006/relationships/hyperlink" Target="http://page.is/monnissima" TargetMode="External"/><Relationship Id="rId922" Type="http://schemas.openxmlformats.org/officeDocument/2006/relationships/hyperlink" Target="http://www.ivoox.com/30537879" TargetMode="External"/><Relationship Id="rId1138" Type="http://schemas.openxmlformats.org/officeDocument/2006/relationships/hyperlink" Target="https://pbs.twimg.com/media/Dt1VxvKW4AUZq9y.jpg" TargetMode="External"/><Relationship Id="rId1345" Type="http://schemas.openxmlformats.org/officeDocument/2006/relationships/hyperlink" Target="https://pbs.twimg.com/media/Dt0osyMWwAEB3kB.jpg" TargetMode="External"/><Relationship Id="rId1552" Type="http://schemas.openxmlformats.org/officeDocument/2006/relationships/hyperlink" Target="https://elpais.com/politica/2018/11/28/actualidad/1543424221_050040.html?id_externo_rsoc=FB_CC" TargetMode="External"/><Relationship Id="rId1997" Type="http://schemas.openxmlformats.org/officeDocument/2006/relationships/hyperlink" Target="http://masculinismo.website/wiki/" TargetMode="External"/><Relationship Id="rId2175" Type="http://schemas.openxmlformats.org/officeDocument/2006/relationships/hyperlink" Target="https://es.rt.com/3qtp" TargetMode="External"/><Relationship Id="rId2382" Type="http://schemas.openxmlformats.org/officeDocument/2006/relationships/hyperlink" Target="https://twitter.com/davalosalarcon/status/1070659305857277954" TargetMode="External"/><Relationship Id="rId147" Type="http://schemas.openxmlformats.org/officeDocument/2006/relationships/hyperlink" Target="http://www.ramblalibre.com/" TargetMode="External"/><Relationship Id="rId354" Type="http://schemas.openxmlformats.org/officeDocument/2006/relationships/hyperlink" Target="https://nuevarevolucion.es/poesia-critica-constitucion-1978-renace-federal-y-laica/" TargetMode="External"/><Relationship Id="rId799" Type="http://schemas.openxmlformats.org/officeDocument/2006/relationships/hyperlink" Target="https://okdiario.com/espana/2018/12/04/eduardo-inda-pablo-querido-mierda-machista-explotador-odiador-3424858" TargetMode="External"/><Relationship Id="rId1191" Type="http://schemas.openxmlformats.org/officeDocument/2006/relationships/hyperlink" Target="https://youtu.be/gjuLta58Png" TargetMode="External"/><Relationship Id="rId1205" Type="http://schemas.openxmlformats.org/officeDocument/2006/relationships/hyperlink" Target="http://youtu.be/ujNpqraCBIg?a" TargetMode="External"/><Relationship Id="rId1857" Type="http://schemas.openxmlformats.org/officeDocument/2006/relationships/hyperlink" Target="https://okdiario.com/espana/2018/12/05/foros-militancia-podemos-arden-contra-iglesias-pablo-callate-haz-autocritica-3427399/amp" TargetMode="External"/><Relationship Id="rId2035" Type="http://schemas.openxmlformats.org/officeDocument/2006/relationships/hyperlink" Target="http://www.granadaeco.com/" TargetMode="External"/><Relationship Id="rId51" Type="http://schemas.openxmlformats.org/officeDocument/2006/relationships/hyperlink" Target="http://consumercounseling.org/" TargetMode="External"/><Relationship Id="rId561" Type="http://schemas.openxmlformats.org/officeDocument/2006/relationships/hyperlink" Target="http://www.lacasona-priorio.es/" TargetMode="External"/><Relationship Id="rId659" Type="http://schemas.openxmlformats.org/officeDocument/2006/relationships/hyperlink" Target="https://www.youtube.com/watch?time_continue=9&amp;v=f_WOL_xX_T8" TargetMode="External"/><Relationship Id="rId866" Type="http://schemas.openxmlformats.org/officeDocument/2006/relationships/hyperlink" Target="http://www.sumarium.es/" TargetMode="External"/><Relationship Id="rId1289" Type="http://schemas.openxmlformats.org/officeDocument/2006/relationships/hyperlink" Target="https://go.shr.lc/2Qm8YLe" TargetMode="External"/><Relationship Id="rId1412" Type="http://schemas.openxmlformats.org/officeDocument/2006/relationships/hyperlink" Target="http://atlantenachel.jimdo.com/" TargetMode="External"/><Relationship Id="rId1496" Type="http://schemas.openxmlformats.org/officeDocument/2006/relationships/hyperlink" Target="http://youtu.be/Ld1I7iqsiIg?a" TargetMode="External"/><Relationship Id="rId1717" Type="http://schemas.openxmlformats.org/officeDocument/2006/relationships/hyperlink" Target="https://www.elmundo.es/cataluna/2018/12/07/5c0a396721efa049618b457f.html" TargetMode="External"/><Relationship Id="rId1924" Type="http://schemas.openxmlformats.org/officeDocument/2006/relationships/hyperlink" Target="https://youtu.be/Ce0beb0sU70" TargetMode="External"/><Relationship Id="rId2242" Type="http://schemas.openxmlformats.org/officeDocument/2006/relationships/hyperlink" Target="https://www.youtube.com/attribution_link?a=r04AFrrhZZM&amp;u=%2Fwatch%3Fv%3DICi8x1lwVD4%26feature%3Dshare" TargetMode="External"/><Relationship Id="rId2547" Type="http://schemas.openxmlformats.org/officeDocument/2006/relationships/hyperlink" Target="https://twitter.com/jmdelalamo/status/1070674475925016576" TargetMode="External"/><Relationship Id="rId214" Type="http://schemas.openxmlformats.org/officeDocument/2006/relationships/hyperlink" Target="http://bit.ly/2E9LBNj" TargetMode="External"/><Relationship Id="rId298" Type="http://schemas.openxmlformats.org/officeDocument/2006/relationships/hyperlink" Target="https://www.lavozdealmeria.com/noticia/12/almeria/163441/envenenan-a-cinco-gatos-de-una-colonia-en-el-barrio-san-luis" TargetMode="External"/><Relationship Id="rId421" Type="http://schemas.openxmlformats.org/officeDocument/2006/relationships/hyperlink" Target="https://www.elmundo.es/loc/famosos/2018/12/08/5c0a3ffffc6c8320198b45e5.html" TargetMode="External"/><Relationship Id="rId519" Type="http://schemas.openxmlformats.org/officeDocument/2006/relationships/hyperlink" Target="https://okdiario.com/general/2018/12/07/vox-lograria-6-voto-9-diputados-unas-generales-si-repitiera-resultado-andaluzas-3422997/amp" TargetMode="External"/><Relationship Id="rId1051" Type="http://schemas.openxmlformats.org/officeDocument/2006/relationships/hyperlink" Target="https://youtu.be/ujNpqraCBIg" TargetMode="External"/><Relationship Id="rId1149" Type="http://schemas.openxmlformats.org/officeDocument/2006/relationships/hyperlink" Target="https://www.libertaddigital.com/espana/2018-12-07/iglesias-se-alza-contra-las-urnas-mientras-pide-que-la-jefatura-del-estado-se-decida-en-las-urnas-1276629520/" TargetMode="External"/><Relationship Id="rId1356" Type="http://schemas.openxmlformats.org/officeDocument/2006/relationships/hyperlink" Target="https://twitter.com/RIVAS_Llanera/status/1071017610152738817" TargetMode="External"/><Relationship Id="rId2102" Type="http://schemas.openxmlformats.org/officeDocument/2006/relationships/hyperlink" Target="https://pbs.twimg.com/media/DtxUG5rWkAEeQjp.jpg" TargetMode="External"/><Relationship Id="rId158" Type="http://schemas.openxmlformats.org/officeDocument/2006/relationships/hyperlink" Target="https://m.publico.es/columnas/110597571549/dominio-publico-carta-al-tipo-que-mando-una-carta-a-pablo-iglesias" TargetMode="External"/><Relationship Id="rId726" Type="http://schemas.openxmlformats.org/officeDocument/2006/relationships/hyperlink" Target="http://www.sevilla24horas.com/" TargetMode="External"/><Relationship Id="rId933" Type="http://schemas.openxmlformats.org/officeDocument/2006/relationships/hyperlink" Target="https://www.facebook.com/martin.brunetpuigbo" TargetMode="External"/><Relationship Id="rId1009" Type="http://schemas.openxmlformats.org/officeDocument/2006/relationships/hyperlink" Target="http://pic.twitter.com/x2YQ2k8WrQ" TargetMode="External"/><Relationship Id="rId1563" Type="http://schemas.openxmlformats.org/officeDocument/2006/relationships/hyperlink" Target="https://elpais.com/diario/2006/03/18/opinion/1142636405_850215.html" TargetMode="External"/><Relationship Id="rId1770" Type="http://schemas.openxmlformats.org/officeDocument/2006/relationships/hyperlink" Target="https://youtu.be/ovQyfpW1sYE" TargetMode="External"/><Relationship Id="rId1868" Type="http://schemas.openxmlformats.org/officeDocument/2006/relationships/hyperlink" Target="https://ift.tt/2G5MQ2I" TargetMode="External"/><Relationship Id="rId2186" Type="http://schemas.openxmlformats.org/officeDocument/2006/relationships/hyperlink" Target="https://pbs.twimg.com/media/Dtw2-VSW0AESvq7.jpg" TargetMode="External"/><Relationship Id="rId2393" Type="http://schemas.openxmlformats.org/officeDocument/2006/relationships/hyperlink" Target="https://okdiario.com/espana/2018/12/06/dueno-del-local-destrozado-cadiz-nada-hubiera-ocurrido-sin-llamamiento-podemos-3432922" TargetMode="External"/><Relationship Id="rId2407" Type="http://schemas.openxmlformats.org/officeDocument/2006/relationships/hyperlink" Target="https://www.cuartopoder.es/espana/partidos-politicos/2018/12/06/iglesias-vincula-su-proyecto-republicano-al-feminismo-libertad-igualdad-y-sororidad/" TargetMode="External"/><Relationship Id="rId62" Type="http://schemas.openxmlformats.org/officeDocument/2006/relationships/hyperlink" Target="https://www.periodistadigital.com/ocio-y-cultura/gente/2018/12/08/bertin-osborne-hunde-miseria-pablo-iglesias-no-voto-muerto-borracho-vino.shtml" TargetMode="External"/><Relationship Id="rId365" Type="http://schemas.openxmlformats.org/officeDocument/2006/relationships/hyperlink" Target="https://pbs.twimg.com/media/Dt49jtLW4AAdxIc.jpg" TargetMode="External"/><Relationship Id="rId572" Type="http://schemas.openxmlformats.org/officeDocument/2006/relationships/hyperlink" Target="https://twitter.com/albert_rivera/status/1070425503234961410" TargetMode="External"/><Relationship Id="rId1216" Type="http://schemas.openxmlformats.org/officeDocument/2006/relationships/hyperlink" Target="http://www.cope.es/" TargetMode="External"/><Relationship Id="rId1423" Type="http://schemas.openxmlformats.org/officeDocument/2006/relationships/hyperlink" Target="https://pbs.twimg.com/media/Dt0U6GBX4AEy9YY.jpg" TargetMode="External"/><Relationship Id="rId1630" Type="http://schemas.openxmlformats.org/officeDocument/2006/relationships/hyperlink" Target="https://eldebate.es/" TargetMode="External"/><Relationship Id="rId2046" Type="http://schemas.openxmlformats.org/officeDocument/2006/relationships/hyperlink" Target="https://elpais.com/politica/2018/12/06/actualidad/1544100381_203267.html" TargetMode="External"/><Relationship Id="rId2253" Type="http://schemas.openxmlformats.org/officeDocument/2006/relationships/hyperlink" Target="https://pbs.twimg.com/media/Dtw8k-8XgAMHKQF.jpg" TargetMode="External"/><Relationship Id="rId2460" Type="http://schemas.openxmlformats.org/officeDocument/2006/relationships/hyperlink" Target="https://tecnicopreocupado.com/2018/05/20/suicidio-politico-de-pablo-iglesias-al-comprar-el-chalet-orden-de-sus-controles-para-autodestruir-podemos/" TargetMode="External"/><Relationship Id="rId225" Type="http://schemas.openxmlformats.org/officeDocument/2006/relationships/hyperlink" Target="https://blogs.publico.es/dominiopublico/27340/carta-al-tipo-que-mando-una-carta-a-pablo-iglesias/" TargetMode="External"/><Relationship Id="rId432" Type="http://schemas.openxmlformats.org/officeDocument/2006/relationships/hyperlink" Target="https://www.libertaddigital.com/espana/2018-12-04/carta-de-un-rojo-andaluz-a-pablo-iglesias-cuando-usted-predica-sobriedad-pero-se-compra-un-chale-nace-un-fascista-1276629342/" TargetMode="External"/><Relationship Id="rId877" Type="http://schemas.openxmlformats.org/officeDocument/2006/relationships/hyperlink" Target="http://pic.twitter.com/pf7dPZYedY" TargetMode="External"/><Relationship Id="rId1062" Type="http://schemas.openxmlformats.org/officeDocument/2006/relationships/hyperlink" Target="http://www.publico.es/" TargetMode="External"/><Relationship Id="rId1728" Type="http://schemas.openxmlformats.org/officeDocument/2006/relationships/hyperlink" Target="http://eldebate.es/" TargetMode="External"/><Relationship Id="rId1935" Type="http://schemas.openxmlformats.org/officeDocument/2006/relationships/hyperlink" Target="https://www.esdiario.com/781025410/Pablo-Iglesias-se-desespera-al-quedarse-solo-en-su-caceria-al-Rey-Juan-Carlos.html" TargetMode="External"/><Relationship Id="rId2113" Type="http://schemas.openxmlformats.org/officeDocument/2006/relationships/hyperlink" Target="https://twitter.com/orbitaeduardo/status/1070635868153634816" TargetMode="External"/><Relationship Id="rId2320" Type="http://schemas.openxmlformats.org/officeDocument/2006/relationships/hyperlink" Target="https://twitter.com/piruvo/status/1070715725076197376" TargetMode="External"/><Relationship Id="rId2558" Type="http://schemas.openxmlformats.org/officeDocument/2006/relationships/hyperlink" Target="http://pic.twitter.com/20yF6WPkHy" TargetMode="External"/><Relationship Id="rId737" Type="http://schemas.openxmlformats.org/officeDocument/2006/relationships/hyperlink" Target="https://www.esdiario.com/193975522/Pablo-Iglesias-cedera-su-chalet-en-Galapagar-para-los-inmigrantes-de-Ceuta.html" TargetMode="External"/><Relationship Id="rId944" Type="http://schemas.openxmlformats.org/officeDocument/2006/relationships/hyperlink" Target="https://youtu.be/hfl0pyi1fdM" TargetMode="External"/><Relationship Id="rId1367" Type="http://schemas.openxmlformats.org/officeDocument/2006/relationships/hyperlink" Target="https://gritandolibertadhoy.blogspot.com/" TargetMode="External"/><Relationship Id="rId1574" Type="http://schemas.openxmlformats.org/officeDocument/2006/relationships/hyperlink" Target="https://twitter.com/escribano_r/status/1070649446927663104" TargetMode="External"/><Relationship Id="rId1781" Type="http://schemas.openxmlformats.org/officeDocument/2006/relationships/hyperlink" Target="https://pbs.twimg.com/media/DtzXC5CV4AYAzs0.jpg" TargetMode="External"/><Relationship Id="rId2197" Type="http://schemas.openxmlformats.org/officeDocument/2006/relationships/hyperlink" Target="https://github.com/tommeagher/heroku_ebooks" TargetMode="External"/><Relationship Id="rId2418" Type="http://schemas.openxmlformats.org/officeDocument/2006/relationships/hyperlink" Target="http://www.pensamientosreducidos.es/" TargetMode="External"/><Relationship Id="rId73" Type="http://schemas.openxmlformats.org/officeDocument/2006/relationships/hyperlink" Target="http://ramblalibre.com/2018/12/08/carta-a-pablo-iglesias-eres-un-botarate-rancio-al-que-solo-votan-las-emporradas/" TargetMode="External"/><Relationship Id="rId169" Type="http://schemas.openxmlformats.org/officeDocument/2006/relationships/hyperlink" Target="https://twitter.com/alsan73/status/1071376559771189253" TargetMode="External"/><Relationship Id="rId376" Type="http://schemas.openxmlformats.org/officeDocument/2006/relationships/hyperlink" Target="https://contrainformacion.es/iu-y-el-pce-presentan-una-querella-contra-entre-otros-el-rey-emerito-porque-esta-monarquia-no-es-trigo-limpio-aunque-hoy-nos-den-lecciones-de-democracia/" TargetMode="External"/><Relationship Id="rId583" Type="http://schemas.openxmlformats.org/officeDocument/2006/relationships/hyperlink" Target="https://toyyyestudiando.blogspot.com/2018/12/derecha-sin-derechopablo-iglesias-es.html?spref=tw" TargetMode="External"/><Relationship Id="rId790" Type="http://schemas.openxmlformats.org/officeDocument/2006/relationships/hyperlink" Target="http://dlvr.it/Qt5zdK" TargetMode="External"/><Relationship Id="rId804" Type="http://schemas.openxmlformats.org/officeDocument/2006/relationships/hyperlink" Target="https://pbs.twimg.com/media/Dt2a6FmWwAAb7FY.jpg" TargetMode="External"/><Relationship Id="rId1227" Type="http://schemas.openxmlformats.org/officeDocument/2006/relationships/hyperlink" Target="https://www.youtube.com/channel/UCzxgc4H0oHpD_o05R7wmEAA" TargetMode="External"/><Relationship Id="rId1434" Type="http://schemas.openxmlformats.org/officeDocument/2006/relationships/hyperlink" Target="https://twitter.com/MazoDePatriota/status/1071034845005078529" TargetMode="External"/><Relationship Id="rId1641" Type="http://schemas.openxmlformats.org/officeDocument/2006/relationships/hyperlink" Target="http://www.voxespana.es/" TargetMode="External"/><Relationship Id="rId1879" Type="http://schemas.openxmlformats.org/officeDocument/2006/relationships/hyperlink" Target="https://www.elmundo.es/cronica/2018/12/03/5c057855fdddff8c998b47af.html" TargetMode="External"/><Relationship Id="rId2057" Type="http://schemas.openxmlformats.org/officeDocument/2006/relationships/hyperlink" Target="https://youtu.be/k3WqC5juY64" TargetMode="External"/><Relationship Id="rId2264" Type="http://schemas.openxmlformats.org/officeDocument/2006/relationships/hyperlink" Target="http://dlvr.it/Qt17Nx" TargetMode="External"/><Relationship Id="rId2471" Type="http://schemas.openxmlformats.org/officeDocument/2006/relationships/hyperlink" Target="http://bitpiva.wixsite.com/bitpiva" TargetMode="External"/><Relationship Id="rId4" Type="http://schemas.openxmlformats.org/officeDocument/2006/relationships/hyperlink" Target="http://facebook.com/luisenrique.jordantorrent" TargetMode="External"/><Relationship Id="rId236" Type="http://schemas.openxmlformats.org/officeDocument/2006/relationships/hyperlink" Target="http://www.outono.net/elentir/2018/12/07/el-rey-llamo-a-pablo-iglesias-para-preocuparse-por-sus-hijos-y-asi-se-lo-ha-agradecido-iglesias/" TargetMode="External"/><Relationship Id="rId443" Type="http://schemas.openxmlformats.org/officeDocument/2006/relationships/hyperlink" Target="http://lrzn.es/mbnep6" TargetMode="External"/><Relationship Id="rId650" Type="http://schemas.openxmlformats.org/officeDocument/2006/relationships/hyperlink" Target="https://eldebate.es/politica-de-estado/vox-se-pasea-por-las-3000-viviendas-y-pablo-iglesias-recorre-su-chalet-20181207" TargetMode="External"/><Relationship Id="rId888" Type="http://schemas.openxmlformats.org/officeDocument/2006/relationships/hyperlink" Target="https://www.elespanol.com/espana/20181207/moncloa-lanza-operacion-ave-fenix-legislatura-presupuestos/358964129_0.html" TargetMode="External"/><Relationship Id="rId1073" Type="http://schemas.openxmlformats.org/officeDocument/2006/relationships/hyperlink" Target="https://okdiario.com/espana/2018/12/05/foros-militancia-podemos-arden-contra-iglesias-pablo-callate-haz-autocritica-3427399?utm_campaign=inda&amp;utm_medium=Social&amp;utm_source=Facebook" TargetMode="External"/><Relationship Id="rId1280" Type="http://schemas.openxmlformats.org/officeDocument/2006/relationships/hyperlink" Target="https://www.laverdad.es/murcia/miembros-denuncian-haber-20181207005415-ntvo.html" TargetMode="External"/><Relationship Id="rId1501" Type="http://schemas.openxmlformats.org/officeDocument/2006/relationships/hyperlink" Target="https://twitter.com/SheloNoShel/status/1071021180742701058/video/1" TargetMode="External"/><Relationship Id="rId1739" Type="http://schemas.openxmlformats.org/officeDocument/2006/relationships/hyperlink" Target="https://pbs.twimg.com/media/DtzfkpDW0AE9kUu.jpg" TargetMode="External"/><Relationship Id="rId1946" Type="http://schemas.openxmlformats.org/officeDocument/2006/relationships/hyperlink" Target="http://www.periodistadigital.com/" TargetMode="External"/><Relationship Id="rId2124" Type="http://schemas.openxmlformats.org/officeDocument/2006/relationships/hyperlink" Target="https://youtu.be/yc04ztdwTNo" TargetMode="External"/><Relationship Id="rId2331" Type="http://schemas.openxmlformats.org/officeDocument/2006/relationships/hyperlink" Target="http://pic.twitter.com/5bj4c4RQrb" TargetMode="External"/><Relationship Id="rId2569" Type="http://schemas.openxmlformats.org/officeDocument/2006/relationships/hyperlink" Target="https://www.instagram.com/p/BrDpVMpnCPD/?utm_source=ig_twitter_share&amp;igshid=6bxzrl3ydz3o" TargetMode="External"/><Relationship Id="rId303" Type="http://schemas.openxmlformats.org/officeDocument/2006/relationships/hyperlink" Target="http://www.casoaislado.com/" TargetMode="External"/><Relationship Id="rId748" Type="http://schemas.openxmlformats.org/officeDocument/2006/relationships/hyperlink" Target="https://youtu.be/yBrEztDIWE0" TargetMode="External"/><Relationship Id="rId955" Type="http://schemas.openxmlformats.org/officeDocument/2006/relationships/hyperlink" Target="https://www.mediterraneodigital.com/sucesos-espana/ultimas-noticias-sucesos-espana/se2/vecinos-de-tenerife-evitan-que-un-marroqui-viole-a-una-chica-espanola.html" TargetMode="External"/><Relationship Id="rId1140" Type="http://schemas.openxmlformats.org/officeDocument/2006/relationships/hyperlink" Target="https://www.huffingtonpost.es/2018/12/07/el-dardo-de-bertin-osborne-a-gabriel-rufian-y-pablo-iglesias-espana-es-el-pais-con-mas-politicos-idiotas-por-metro-cuadrado_a_23611885/" TargetMode="External"/><Relationship Id="rId1378" Type="http://schemas.openxmlformats.org/officeDocument/2006/relationships/hyperlink" Target="https://pbs.twimg.com/media/DtwLp_iWwAAyJTq.jpg" TargetMode="External"/><Relationship Id="rId1585" Type="http://schemas.openxmlformats.org/officeDocument/2006/relationships/hyperlink" Target="https://contrainformacion.es/iu-y-el-pce-presentan-una-querella-contra-entre-otros-el-rey-emerito-porque-esta-monarquia-no-es-trigo-limpio-aunque-hoy-nos-den-lecciones-de-democracia/" TargetMode="External"/><Relationship Id="rId1792" Type="http://schemas.openxmlformats.org/officeDocument/2006/relationships/hyperlink" Target="https://www.elmatinal.com/actualidad/piden-la-detencion-de-pablo-iglesias-por-ser-el-promotor-de-las-violentas-manifestaciones-contra-vox-en-andalucia/" TargetMode="External"/><Relationship Id="rId1806" Type="http://schemas.openxmlformats.org/officeDocument/2006/relationships/hyperlink" Target="http://instagram.com/cangrejosciegos" TargetMode="External"/><Relationship Id="rId2429" Type="http://schemas.openxmlformats.org/officeDocument/2006/relationships/hyperlink" Target="https://pbs.twimg.com/media/DtwicNdXgAIyCfk.jpg" TargetMode="External"/><Relationship Id="rId84" Type="http://schemas.openxmlformats.org/officeDocument/2006/relationships/hyperlink" Target="https://twitter.com/Els_quatre_gats/status/560833460836007937" TargetMode="External"/><Relationship Id="rId387" Type="http://schemas.openxmlformats.org/officeDocument/2006/relationships/hyperlink" Target="http://pic.twitter.com/unRiKIbynu" TargetMode="External"/><Relationship Id="rId510" Type="http://schemas.openxmlformats.org/officeDocument/2006/relationships/hyperlink" Target="http://www.outono.net/elentir/2018/12/07/el-rey-llamo-a-pablo-iglesias-para-preocuparse-por-sus-hijos-y-asi-se-lo-ha-agradecido-iglesias/" TargetMode="External"/><Relationship Id="rId594" Type="http://schemas.openxmlformats.org/officeDocument/2006/relationships/hyperlink" Target="https://youtu.be/3eLKQ-zSPsk" TargetMode="External"/><Relationship Id="rId608" Type="http://schemas.openxmlformats.org/officeDocument/2006/relationships/hyperlink" Target="https://twitter.com/s1moron/status/1070984350257299456" TargetMode="External"/><Relationship Id="rId815" Type="http://schemas.openxmlformats.org/officeDocument/2006/relationships/hyperlink" Target="http://chng.it/FpyLNzkk" TargetMode="External"/><Relationship Id="rId1238" Type="http://schemas.openxmlformats.org/officeDocument/2006/relationships/hyperlink" Target="https://pbs.twimg.com/media/Dt1A30_WoAE8otS.jpg" TargetMode="External"/><Relationship Id="rId1445" Type="http://schemas.openxmlformats.org/officeDocument/2006/relationships/hyperlink" Target="http://pic.twitter.com/h8QFQb9Zn1" TargetMode="External"/><Relationship Id="rId1652" Type="http://schemas.openxmlformats.org/officeDocument/2006/relationships/hyperlink" Target="https://www.esdiario.com/781025410/Pablo-Iglesias-se-desespera-al-quedarse-solo-en-su-caceria-al-Rey-Juan-Carlos.html" TargetMode="External"/><Relationship Id="rId2068" Type="http://schemas.openxmlformats.org/officeDocument/2006/relationships/hyperlink" Target="http://eldiario.es/" TargetMode="External"/><Relationship Id="rId2275" Type="http://schemas.openxmlformats.org/officeDocument/2006/relationships/hyperlink" Target="https://twitter.com/arturelpayaso2/status/1070703901127651329" TargetMode="External"/><Relationship Id="rId247" Type="http://schemas.openxmlformats.org/officeDocument/2006/relationships/hyperlink" Target="http://www.huffingtonpost.es/" TargetMode="External"/><Relationship Id="rId899" Type="http://schemas.openxmlformats.org/officeDocument/2006/relationships/hyperlink" Target="https://twitter.com/perezreverte/status/1071045025642020869" TargetMode="External"/><Relationship Id="rId1000" Type="http://schemas.openxmlformats.org/officeDocument/2006/relationships/hyperlink" Target="http://chng.it/KgBJGbSC" TargetMode="External"/><Relationship Id="rId1084" Type="http://schemas.openxmlformats.org/officeDocument/2006/relationships/hyperlink" Target="https://www.20minutos.es/noticia/3508831/0/carta-viral-abierta-andaluz-medico-pablo-iglesias-cuando-usted-predica-pobreza-pero-compra-chale-nace-fascista-elecciones-andalucia-2018-podemos-vox/" TargetMode="External"/><Relationship Id="rId1305" Type="http://schemas.openxmlformats.org/officeDocument/2006/relationships/hyperlink" Target="http://a.msn.com/00/es-es/BBQD9VP?ocid=st" TargetMode="External"/><Relationship Id="rId1957" Type="http://schemas.openxmlformats.org/officeDocument/2006/relationships/hyperlink" Target="https://www.linkedin.com/pub/carmen-lara/3b/a08/b28" TargetMode="External"/><Relationship Id="rId2482" Type="http://schemas.openxmlformats.org/officeDocument/2006/relationships/hyperlink" Target="https://pbs.twimg.com/media/Dtwf7uhX4AAzIVv.jpg" TargetMode="External"/><Relationship Id="rId107" Type="http://schemas.openxmlformats.org/officeDocument/2006/relationships/hyperlink" Target="https://blogs.publico.es/dominiopublico/27340/carta-al-tipo-que-mando-una-carta-a-pablo-iglesias/?utm_source=facebook&amp;utm_medium=social&amp;utm_campaign=publico" TargetMode="External"/><Relationship Id="rId454" Type="http://schemas.openxmlformats.org/officeDocument/2006/relationships/hyperlink" Target="http://electronicmusic.webgarden.es/" TargetMode="External"/><Relationship Id="rId661" Type="http://schemas.openxmlformats.org/officeDocument/2006/relationships/hyperlink" Target="https://www.elmatinal.com/actualidad/piden-la-detencion-de-pablo-iglesias-por-ser-el-promotor-de-las-violentas-manifestaciones-contra-vox-en-andalucia/" TargetMode="External"/><Relationship Id="rId759" Type="http://schemas.openxmlformats.org/officeDocument/2006/relationships/hyperlink" Target="http://blogdebabunita.blogspot.com/" TargetMode="External"/><Relationship Id="rId966" Type="http://schemas.openxmlformats.org/officeDocument/2006/relationships/hyperlink" Target="https://pbs.twimg.com/media/Dt12s4IWoAEVKBt.jpg" TargetMode="External"/><Relationship Id="rId1291" Type="http://schemas.openxmlformats.org/officeDocument/2006/relationships/hyperlink" Target="https://twitter.com/rouco64/status/1071032276908150784" TargetMode="External"/><Relationship Id="rId1389" Type="http://schemas.openxmlformats.org/officeDocument/2006/relationships/hyperlink" Target="https://twitter.com/Pablo_Iglesias_/status/1070706854165168128" TargetMode="External"/><Relationship Id="rId1512" Type="http://schemas.openxmlformats.org/officeDocument/2006/relationships/hyperlink" Target="http://eldebate.es/" TargetMode="External"/><Relationship Id="rId1596" Type="http://schemas.openxmlformats.org/officeDocument/2006/relationships/hyperlink" Target="http://contrainformacion.es/" TargetMode="External"/><Relationship Id="rId1817" Type="http://schemas.openxmlformats.org/officeDocument/2006/relationships/hyperlink" Target="https://twitter.com/Els_quatre_gats/status/560833460836007937" TargetMode="External"/><Relationship Id="rId2135" Type="http://schemas.openxmlformats.org/officeDocument/2006/relationships/hyperlink" Target="https://www.20minutos.es/noticia/3508831/0/carta-viral-abierta-andaluz-medico-pablo-iglesias-cuando-usted-predica-pobreza-pero-compra-chale-nace-fascista-elecciones-andalucia-2018-podemos-vox/?utm_source=facebook.com&amp;utm_medium=socialshare&amp;utm_campaign=mobile_web" TargetMode="External"/><Relationship Id="rId2342" Type="http://schemas.openxmlformats.org/officeDocument/2006/relationships/hyperlink" Target="http://youtu.be/ICi8x1lwVD4?a" TargetMode="External"/><Relationship Id="rId11" Type="http://schemas.openxmlformats.org/officeDocument/2006/relationships/hyperlink" Target="http://www.elmundo.es/loc/famosos/2018/12/08/5c0a3ffffc6c8320198b45e5.html" TargetMode="External"/><Relationship Id="rId314" Type="http://schemas.openxmlformats.org/officeDocument/2006/relationships/hyperlink" Target="https://eldebate.es/politica-de-estado/cisma-en-podemos-cuando-iglesias-defendia-el-derecho-a-portar-armas-20181207" TargetMode="External"/><Relationship Id="rId398" Type="http://schemas.openxmlformats.org/officeDocument/2006/relationships/hyperlink" Target="https://blogs.publico.es/dominiopublico/27340/carta-al-tipo-que-mando-una-carta-a-pablo-iglesias/" TargetMode="External"/><Relationship Id="rId521" Type="http://schemas.openxmlformats.org/officeDocument/2006/relationships/hyperlink" Target="https://eldebate.es/politica-de-estado/las-4-menciones-a-espana-que-podemos-borro-del-discurso-de-pablo-iglesias-tras-el-2-d-20181207?utm_medium=social&amp;utm_source=twitter&amp;utm_campaign=shareweb&amp;utm_content=footer&amp;utm_origin=footer" TargetMode="External"/><Relationship Id="rId619" Type="http://schemas.openxmlformats.org/officeDocument/2006/relationships/hyperlink" Target="http://pic.twitter.com/0NuPJ0PknK" TargetMode="External"/><Relationship Id="rId1151" Type="http://schemas.openxmlformats.org/officeDocument/2006/relationships/hyperlink" Target="https://www.youtube.com/attribution_link?a=YVn0JGaCgpc&amp;u=%2Fwatch%3Fv%3Dhm-DNijFbYk%26feature%3Dshare" TargetMode="External"/><Relationship Id="rId1249" Type="http://schemas.openxmlformats.org/officeDocument/2006/relationships/hyperlink" Target="https://pbs.twimg.com/media/Dt1BI2nXgAEbdgk.jpg" TargetMode="External"/><Relationship Id="rId2079" Type="http://schemas.openxmlformats.org/officeDocument/2006/relationships/hyperlink" Target="http://elblogdejuanvi.blogspot.com/" TargetMode="External"/><Relationship Id="rId2202" Type="http://schemas.openxmlformats.org/officeDocument/2006/relationships/hyperlink" Target="https://participa.podemos.info/avales-candidaturas-congreso-diputados" TargetMode="External"/><Relationship Id="rId95" Type="http://schemas.openxmlformats.org/officeDocument/2006/relationships/hyperlink" Target="https://pbs.twimg.com/media/Dt51d5EUUAATenN.jpg" TargetMode="External"/><Relationship Id="rId160" Type="http://schemas.openxmlformats.org/officeDocument/2006/relationships/hyperlink" Target="http://chng.it/PV22Fhh2" TargetMode="External"/><Relationship Id="rId826" Type="http://schemas.openxmlformats.org/officeDocument/2006/relationships/hyperlink" Target="https://twitter.com/pmanglano/status/1071155705405730816" TargetMode="External"/><Relationship Id="rId1011" Type="http://schemas.openxmlformats.org/officeDocument/2006/relationships/hyperlink" Target="http://facebook.com/f.diazfran" TargetMode="External"/><Relationship Id="rId1109" Type="http://schemas.openxmlformats.org/officeDocument/2006/relationships/hyperlink" Target="https://twitter.com/schuma78/status/1070999672238587905" TargetMode="External"/><Relationship Id="rId1456" Type="http://schemas.openxmlformats.org/officeDocument/2006/relationships/hyperlink" Target="https://okdiario.com/espana/2018/12/05/foros-militancia-podemos-arden-contra-iglesias-pablo-callate-haz-autocritica-3427399/amp" TargetMode="External"/><Relationship Id="rId1663" Type="http://schemas.openxmlformats.org/officeDocument/2006/relationships/hyperlink" Target="https://pbs.twimg.com/media/DtztlgPXgAATP2M.jpg" TargetMode="External"/><Relationship Id="rId1870" Type="http://schemas.openxmlformats.org/officeDocument/2006/relationships/hyperlink" Target="http://txemarmesto.blogspot.com/" TargetMode="External"/><Relationship Id="rId1968" Type="http://schemas.openxmlformats.org/officeDocument/2006/relationships/hyperlink" Target="https://youtu.be/12Qr1C18reM" TargetMode="External"/><Relationship Id="rId2286" Type="http://schemas.openxmlformats.org/officeDocument/2006/relationships/hyperlink" Target="http://a.msn.com/01/es-es/BBQzGwm?ocid=st" TargetMode="External"/><Relationship Id="rId2493" Type="http://schemas.openxmlformats.org/officeDocument/2006/relationships/hyperlink" Target="https://pbs.twimg.com/media/DtvwusqX4AUDUW4.jpg" TargetMode="External"/><Relationship Id="rId2507" Type="http://schemas.openxmlformats.org/officeDocument/2006/relationships/hyperlink" Target="https://www.20minutos.es/noticia/3508831/0/carta-viral-abierta-andaluz-medico-pablo-iglesias-cuando-usted-predica-pobreza-pero-compra-chale-nace-fascista-elecciones-andalucia-2018-podemos-vox/?utm_source=twitter.com&amp;utm_medium=socialshare&amp;utm_campaign=mobile_amp" TargetMode="External"/><Relationship Id="rId258" Type="http://schemas.openxmlformats.org/officeDocument/2006/relationships/hyperlink" Target="https://blogs.publico.es/dominiopublico/27340/carta-al-tipo-que-mando-una-carta-a-pablo-iglesias/?utm_source=facebook&amp;utm_medium=social&amp;utm_campaign=publico" TargetMode="External"/><Relationship Id="rId465" Type="http://schemas.openxmlformats.org/officeDocument/2006/relationships/hyperlink" Target="http://www.huffingtonpost.es/" TargetMode="External"/><Relationship Id="rId672" Type="http://schemas.openxmlformats.org/officeDocument/2006/relationships/hyperlink" Target="https://twitter.com/libertaddigital/status/1071059601355927552" TargetMode="External"/><Relationship Id="rId1095" Type="http://schemas.openxmlformats.org/officeDocument/2006/relationships/hyperlink" Target="http://bit.ly/2zM8PWW" TargetMode="External"/><Relationship Id="rId1316" Type="http://schemas.openxmlformats.org/officeDocument/2006/relationships/hyperlink" Target="http://pic.twitter.com/BGhvOiPhQK" TargetMode="External"/><Relationship Id="rId1523" Type="http://schemas.openxmlformats.org/officeDocument/2006/relationships/hyperlink" Target="https://lenguadebrujo.wordpress.com/" TargetMode="External"/><Relationship Id="rId1730" Type="http://schemas.openxmlformats.org/officeDocument/2006/relationships/hyperlink" Target="https://eldebate.es/" TargetMode="External"/><Relationship Id="rId2146" Type="http://schemas.openxmlformats.org/officeDocument/2006/relationships/hyperlink" Target="https://pbs.twimg.com/media/DtxM2lHUwAAqGSI.jpg" TargetMode="External"/><Relationship Id="rId2353" Type="http://schemas.openxmlformats.org/officeDocument/2006/relationships/hyperlink" Target="http://pic.twitter.com/HM7spMfvmA" TargetMode="External"/><Relationship Id="rId2560" Type="http://schemas.openxmlformats.org/officeDocument/2006/relationships/hyperlink" Target="https://www.youtube.com/channel/UCATNLtVD9iXXzOmFc4bZ87A/featured" TargetMode="External"/><Relationship Id="rId22" Type="http://schemas.openxmlformats.org/officeDocument/2006/relationships/hyperlink" Target="http://www.cope.es/" TargetMode="External"/><Relationship Id="rId118" Type="http://schemas.openxmlformats.org/officeDocument/2006/relationships/hyperlink" Target="https://www.periodistadigital.com/opinion/cartas-al-director/2018/12/08/carta-abierta-de-santiago-abascal-a-pablo-iglesias-lo-tienes-crudo.shtml" TargetMode="External"/><Relationship Id="rId325" Type="http://schemas.openxmlformats.org/officeDocument/2006/relationships/hyperlink" Target="https://pbs.twimg.com/media/Dt5GuG0XcAEzEW9.jpg" TargetMode="External"/><Relationship Id="rId532" Type="http://schemas.openxmlformats.org/officeDocument/2006/relationships/hyperlink" Target="https://pbs.twimg.com/media/Dtw_d7JW4AAeyTa.jpg" TargetMode="External"/><Relationship Id="rId977" Type="http://schemas.openxmlformats.org/officeDocument/2006/relationships/hyperlink" Target="https://twitter.com/okdiario/status/1071132239906299905" TargetMode="External"/><Relationship Id="rId1162" Type="http://schemas.openxmlformats.org/officeDocument/2006/relationships/hyperlink" Target="https://pbs.twimg.com/media/Dt1S8VyWwAE-Wnv.jpg" TargetMode="External"/><Relationship Id="rId1828" Type="http://schemas.openxmlformats.org/officeDocument/2006/relationships/hyperlink" Target="https://okdiario.com/investigacion/2016/01/13/tv-pablo-iglesias-recibido-93-millones-del-gobierno-iran-desde-paraisos-fiscales-52923" TargetMode="External"/><Relationship Id="rId2006" Type="http://schemas.openxmlformats.org/officeDocument/2006/relationships/hyperlink" Target="https://danielcastroga.blogspot.com/" TargetMode="External"/><Relationship Id="rId2213" Type="http://schemas.openxmlformats.org/officeDocument/2006/relationships/hyperlink" Target="https://pbs.twimg.com/media/DtxBLfUWoAAjleW.jpg" TargetMode="External"/><Relationship Id="rId2420" Type="http://schemas.openxmlformats.org/officeDocument/2006/relationships/hyperlink" Target="https://youtu.be/Min28YfS0_c" TargetMode="External"/><Relationship Id="rId171" Type="http://schemas.openxmlformats.org/officeDocument/2006/relationships/hyperlink" Target="https://www.periodistadigital.com/opinion/cartas-al-director/2018/12/08/carta-abierta-de-santiago-abascal-a-pablo-iglesias-lo-tienes-crudo.shtml" TargetMode="External"/><Relationship Id="rId837" Type="http://schemas.openxmlformats.org/officeDocument/2006/relationships/hyperlink" Target="http://miguelcirculandoporlaizquierda2.blogspot.com.es/" TargetMode="External"/><Relationship Id="rId1022" Type="http://schemas.openxmlformats.org/officeDocument/2006/relationships/hyperlink" Target="http://www.francescmarcalvaro.cat/" TargetMode="External"/><Relationship Id="rId1467" Type="http://schemas.openxmlformats.org/officeDocument/2006/relationships/hyperlink" Target="https://pbs.twimg.com/media/Dtkuw5oXcAIO9xZ.jpg" TargetMode="External"/><Relationship Id="rId1674" Type="http://schemas.openxmlformats.org/officeDocument/2006/relationships/hyperlink" Target="https://www.elperiodicodearagon.com/noticias/opinion/pasen-vean-gran-carnaval_1328718.html" TargetMode="External"/><Relationship Id="rId1881" Type="http://schemas.openxmlformats.org/officeDocument/2006/relationships/hyperlink" Target="https://pbs.twimg.com/media/DtzIvnxXcAEzp8d.jpg" TargetMode="External"/><Relationship Id="rId2297" Type="http://schemas.openxmlformats.org/officeDocument/2006/relationships/hyperlink" Target="https://pbs.twimg.com/media/DtvUuX1W0AAjqlN.jpg" TargetMode="External"/><Relationship Id="rId2518" Type="http://schemas.openxmlformats.org/officeDocument/2006/relationships/hyperlink" Target="https://okdiario.com/espana/2018/12/05/ciudadano-cake-toma-vox-antiguo-barrio-pablo-iglesias-3430388/amp" TargetMode="External"/><Relationship Id="rId269" Type="http://schemas.openxmlformats.org/officeDocument/2006/relationships/hyperlink" Target="https://twitter.com/aschapire/status/1068881058119200769" TargetMode="External"/><Relationship Id="rId476" Type="http://schemas.openxmlformats.org/officeDocument/2006/relationships/hyperlink" Target="http://pic.twitter.com/vWlRvWV6Mw" TargetMode="External"/><Relationship Id="rId683" Type="http://schemas.openxmlformats.org/officeDocument/2006/relationships/hyperlink" Target="https://www.facebook.com/groups/1523383624657240/?fref=nf" TargetMode="External"/><Relationship Id="rId890" Type="http://schemas.openxmlformats.org/officeDocument/2006/relationships/hyperlink" Target="http://www.diarioalcazar.com/2018/12/pablo-iglesias-podria-ser-juzgado-por.html" TargetMode="External"/><Relationship Id="rId904" Type="http://schemas.openxmlformats.org/officeDocument/2006/relationships/hyperlink" Target="https://m.facebook.com/?_rdr" TargetMode="External"/><Relationship Id="rId1327" Type="http://schemas.openxmlformats.org/officeDocument/2006/relationships/hyperlink" Target="http://www.elalminardemelilla.com/" TargetMode="External"/><Relationship Id="rId1534" Type="http://schemas.openxmlformats.org/officeDocument/2006/relationships/hyperlink" Target="https://okdiario.com/espana/2018/12/06/comunista-anguita-si-honrado-otros-son-unos-ladrones-votad-extrema-derecha-3431940" TargetMode="External"/><Relationship Id="rId1741" Type="http://schemas.openxmlformats.org/officeDocument/2006/relationships/hyperlink" Target="http://pic.twitter.com/7VaxfDVq5m" TargetMode="External"/><Relationship Id="rId1979" Type="http://schemas.openxmlformats.org/officeDocument/2006/relationships/hyperlink" Target="https://www.20minutos.es/noticia/3510498/0/pablo-iglesias-corrupcion-discurso-constitucion-rey/?utm_source=twitter.com&amp;utm_medium=socialshare&amp;utm_campaign=desktop" TargetMode="External"/><Relationship Id="rId2157" Type="http://schemas.openxmlformats.org/officeDocument/2006/relationships/hyperlink" Target="http://about.me/jaime_blanco" TargetMode="External"/><Relationship Id="rId2364" Type="http://schemas.openxmlformats.org/officeDocument/2006/relationships/hyperlink" Target="http://pic.twitter.com/HM7spMfvmA" TargetMode="External"/><Relationship Id="rId2571" Type="http://schemas.openxmlformats.org/officeDocument/2006/relationships/hyperlink" Target="http://www.diarioalcazar.com/2018/12/pablo-iglesias-podria-ser-juzgado-por.html" TargetMode="External"/><Relationship Id="rId33" Type="http://schemas.openxmlformats.org/officeDocument/2006/relationships/hyperlink" Target="https://www.elmundo.es/loc/famosos/2018/12/08/5c0a3ffffc6c8320198b45e5.html" TargetMode="External"/><Relationship Id="rId129" Type="http://schemas.openxmlformats.org/officeDocument/2006/relationships/hyperlink" Target="http://dlvr.it/Qt7ztd" TargetMode="External"/><Relationship Id="rId336" Type="http://schemas.openxmlformats.org/officeDocument/2006/relationships/hyperlink" Target="https://blogs.publico.es/dominiopublico/27340/carta-al-tipo-que-mando-una-carta-a-pablo-iglesias/" TargetMode="External"/><Relationship Id="rId543" Type="http://schemas.openxmlformats.org/officeDocument/2006/relationships/hyperlink" Target="https://www.periodistadigital.com/ocio-y-cultura/gente/2018/12/08/bertin-osborne-hunde-miseria-pablo-iglesias-no-voto-muerto-borracho-vino.shtml" TargetMode="External"/><Relationship Id="rId988" Type="http://schemas.openxmlformats.org/officeDocument/2006/relationships/hyperlink" Target="https://youtu.be/7rcT6oODQOE" TargetMode="External"/><Relationship Id="rId1173" Type="http://schemas.openxmlformats.org/officeDocument/2006/relationships/hyperlink" Target="https://pbs.twimg.com/media/Dt1RblAX4AEhySz.png" TargetMode="External"/><Relationship Id="rId1380" Type="http://schemas.openxmlformats.org/officeDocument/2006/relationships/hyperlink" Target="https://www.youtube.com/channel/UCzxgc4H0oHpD_o05R7wmEAA" TargetMode="External"/><Relationship Id="rId1601" Type="http://schemas.openxmlformats.org/officeDocument/2006/relationships/hyperlink" Target="http://www.hoyporhoy.es/" TargetMode="External"/><Relationship Id="rId1839" Type="http://schemas.openxmlformats.org/officeDocument/2006/relationships/hyperlink" Target="https://www.eldiario.es/_32458238" TargetMode="External"/><Relationship Id="rId2017" Type="http://schemas.openxmlformats.org/officeDocument/2006/relationships/hyperlink" Target="https://www.youtube.com/MarcLesan" TargetMode="External"/><Relationship Id="rId2224" Type="http://schemas.openxmlformats.org/officeDocument/2006/relationships/hyperlink" Target="http://lrzn.es/hkasn2" TargetMode="External"/><Relationship Id="rId182" Type="http://schemas.openxmlformats.org/officeDocument/2006/relationships/hyperlink" Target="https://pbs.twimg.com/media/Dt5i6LQXQAAhKg7.jpg" TargetMode="External"/><Relationship Id="rId403" Type="http://schemas.openxmlformats.org/officeDocument/2006/relationships/hyperlink" Target="https://carlosbernuylopez.wordpress.com/" TargetMode="External"/><Relationship Id="rId750" Type="http://schemas.openxmlformats.org/officeDocument/2006/relationships/hyperlink" Target="https://f7td5.app.goo.gl/HwmXr" TargetMode="External"/><Relationship Id="rId848" Type="http://schemas.openxmlformats.org/officeDocument/2006/relationships/hyperlink" Target="https://twitter.com/MorenoG_Agustin/status/1071132248479535107" TargetMode="External"/><Relationship Id="rId1033" Type="http://schemas.openxmlformats.org/officeDocument/2006/relationships/hyperlink" Target="https://casoaislado.com/la-incitacion-al-odio-contra-vox-de-pablo-iglesias-deja-sus-primeras-victimas-dos-afiliados-son-agredidos-en-murcia/" TargetMode="External"/><Relationship Id="rId1478" Type="http://schemas.openxmlformats.org/officeDocument/2006/relationships/hyperlink" Target="https://www.youtube.com/channel/UCfK2E_-PvYyMdJFhpFwHQ9A" TargetMode="External"/><Relationship Id="rId1685" Type="http://schemas.openxmlformats.org/officeDocument/2006/relationships/hyperlink" Target="https://www.libertaddigital.com/espana/2018-12-07/iglesias-se-alza-contra-las-urnas-mientras-pide-que-la-jefatura-del-estado-se-decida-en-las-urnas-1276629520/" TargetMode="External"/><Relationship Id="rId1892" Type="http://schemas.openxmlformats.org/officeDocument/2006/relationships/hyperlink" Target="https://pbs.twimg.com/media/DtzHD5-W0AAlKYz.jpg" TargetMode="External"/><Relationship Id="rId1906" Type="http://schemas.openxmlformats.org/officeDocument/2006/relationships/hyperlink" Target="https://okdiario.com/espana/2018/12/05/foros-militancia-podemos-arden-contra-iglesias-pablo-callate-haz-autocritica-3427399" TargetMode="External"/><Relationship Id="rId2431" Type="http://schemas.openxmlformats.org/officeDocument/2006/relationships/hyperlink" Target="https://diariopatriota.com/un-medico-malagueno-vapulea-a-pablo-iglesias-en-una-carta-abierta-busca-a-los-fascistas-en-las-propias-sedes-de-podemos/" TargetMode="External"/><Relationship Id="rId2529" Type="http://schemas.openxmlformats.org/officeDocument/2006/relationships/hyperlink" Target="https://www.elconfidencial.com/espana/2018-12-06/aniversario-constitucion-pablo-iglesias-podemos-rey-juan-carlos_1690826/?utm_source=facebook&amp;utm_medium=social&amp;utm_campaign=ECDiarioManual" TargetMode="External"/><Relationship Id="rId487" Type="http://schemas.openxmlformats.org/officeDocument/2006/relationships/hyperlink" Target="http://lrzn.es/mbnep2" TargetMode="External"/><Relationship Id="rId610" Type="http://schemas.openxmlformats.org/officeDocument/2006/relationships/hyperlink" Target="http://www.cdtonline.es/" TargetMode="External"/><Relationship Id="rId694" Type="http://schemas.openxmlformats.org/officeDocument/2006/relationships/hyperlink" Target="https://goo.gl/SXwAHD?utq98=5419346005" TargetMode="External"/><Relationship Id="rId708" Type="http://schemas.openxmlformats.org/officeDocument/2006/relationships/hyperlink" Target="http://www.antena3.com/noticias/" TargetMode="External"/><Relationship Id="rId915" Type="http://schemas.openxmlformats.org/officeDocument/2006/relationships/hyperlink" Target="http://page.is/larevuelo53" TargetMode="External"/><Relationship Id="rId1240" Type="http://schemas.openxmlformats.org/officeDocument/2006/relationships/hyperlink" Target="http://www.publico.es/publico-tv/directo/728460/otra-vuelta-de-tuerka-7-de-diciembre-de-2018" TargetMode="External"/><Relationship Id="rId1338" Type="http://schemas.openxmlformats.org/officeDocument/2006/relationships/hyperlink" Target="https://okdiario.com/espana/2018/12/07/iglesias-da-razon-abascal-derecho-portar-armas-bases-democracia-3438627?utm_campaign=ok&amp;utm_medium=Social&amp;utm_source=Twitter" TargetMode="External"/><Relationship Id="rId1545" Type="http://schemas.openxmlformats.org/officeDocument/2006/relationships/hyperlink" Target="https://twitter.com/michaeldudikof3/status/1070983418199097344" TargetMode="External"/><Relationship Id="rId2070" Type="http://schemas.openxmlformats.org/officeDocument/2006/relationships/hyperlink" Target="https://pbs.twimg.com/media/DtwtiYeWoAAw0ou.jpg" TargetMode="External"/><Relationship Id="rId2168" Type="http://schemas.openxmlformats.org/officeDocument/2006/relationships/hyperlink" Target="https://www.eldiario.es/_32458238" TargetMode="External"/><Relationship Id="rId2375" Type="http://schemas.openxmlformats.org/officeDocument/2006/relationships/hyperlink" Target="https://twitter.com/belenruedagdv/status/1070248108439818240" TargetMode="External"/><Relationship Id="rId347" Type="http://schemas.openxmlformats.org/officeDocument/2006/relationships/hyperlink" Target="https://www.elmundo.es/baleares/2018/12/07/5c0a31e8fc6c83ee428b45c5.html" TargetMode="External"/><Relationship Id="rId999" Type="http://schemas.openxmlformats.org/officeDocument/2006/relationships/hyperlink" Target="http://podemos.info/" TargetMode="External"/><Relationship Id="rId1100" Type="http://schemas.openxmlformats.org/officeDocument/2006/relationships/hyperlink" Target="https://twitter.com/Miotroyo2parte/status/1070994564868128769" TargetMode="External"/><Relationship Id="rId1184" Type="http://schemas.openxmlformats.org/officeDocument/2006/relationships/hyperlink" Target="https://twitter.com/pegilo57/status/1071051803339440129" TargetMode="External"/><Relationship Id="rId1405" Type="http://schemas.openxmlformats.org/officeDocument/2006/relationships/hyperlink" Target="https://okdiario.com/espana/2018/12/07/iglesias-da-razon-abascal-derecho-portar-armas-bases-democracia-3438627" TargetMode="External"/><Relationship Id="rId1752" Type="http://schemas.openxmlformats.org/officeDocument/2006/relationships/hyperlink" Target="http://www.eleconomista.es/mercados-cotizaciones/noticias/9567860/12/18/Cuanto-cuesta-tener-un-entrenador-personal-para-el-ahorro.html" TargetMode="External"/><Relationship Id="rId2028" Type="http://schemas.openxmlformats.org/officeDocument/2006/relationships/hyperlink" Target="http://www.sumarium.es/" TargetMode="External"/><Relationship Id="rId44" Type="http://schemas.openxmlformats.org/officeDocument/2006/relationships/hyperlink" Target="https://curiouscat.me/joelsiese" TargetMode="External"/><Relationship Id="rId554" Type="http://schemas.openxmlformats.org/officeDocument/2006/relationships/hyperlink" Target="https://twitter.com/perezreverte/status/1071045025642020869" TargetMode="External"/><Relationship Id="rId761" Type="http://schemas.openxmlformats.org/officeDocument/2006/relationships/hyperlink" Target="https://ift.tt/2zPvEcc" TargetMode="External"/><Relationship Id="rId859" Type="http://schemas.openxmlformats.org/officeDocument/2006/relationships/hyperlink" Target="https://www.elsaltodiario.com/fascismo/fascismo-responsabilidad-compartida" TargetMode="External"/><Relationship Id="rId1391" Type="http://schemas.openxmlformats.org/officeDocument/2006/relationships/hyperlink" Target="http://comisionciudadana.eu/" TargetMode="External"/><Relationship Id="rId1489" Type="http://schemas.openxmlformats.org/officeDocument/2006/relationships/hyperlink" Target="http://about.me/alfonsosiloniz" TargetMode="External"/><Relationship Id="rId1612" Type="http://schemas.openxmlformats.org/officeDocument/2006/relationships/hyperlink" Target="https://pbs.twimg.com/media/Dtz4kGzWsAIwH7P.jpg" TargetMode="External"/><Relationship Id="rId1696" Type="http://schemas.openxmlformats.org/officeDocument/2006/relationships/hyperlink" Target="https://twitter.com/ahorapodemos/status/1070633150353760256" TargetMode="External"/><Relationship Id="rId1917" Type="http://schemas.openxmlformats.org/officeDocument/2006/relationships/hyperlink" Target="http://www.malostratosfalsos.com/" TargetMode="External"/><Relationship Id="rId2235" Type="http://schemas.openxmlformats.org/officeDocument/2006/relationships/hyperlink" Target="http://pic.twitter.com/m7o6qXHXVm" TargetMode="External"/><Relationship Id="rId2442" Type="http://schemas.openxmlformats.org/officeDocument/2006/relationships/hyperlink" Target="https://pbs.twimg.com/media/Dtwl7_3WwAAiq7I.jpg" TargetMode="External"/><Relationship Id="rId193" Type="http://schemas.openxmlformats.org/officeDocument/2006/relationships/hyperlink" Target="http://chng.it/99rnvKpJ" TargetMode="External"/><Relationship Id="rId207" Type="http://schemas.openxmlformats.org/officeDocument/2006/relationships/hyperlink" Target="https://blogs.publico.es/dominiopublico/27340/carta-al-tipo-que-mando-una-carta-a-pablo-iglesias/" TargetMode="External"/><Relationship Id="rId414" Type="http://schemas.openxmlformats.org/officeDocument/2006/relationships/hyperlink" Target="https://sevilla.abc.es/elecciones/andalucia/sevi-carta-medico-malaga-pablo-iglesias-201812041654_noticia.html" TargetMode="External"/><Relationship Id="rId498" Type="http://schemas.openxmlformats.org/officeDocument/2006/relationships/hyperlink" Target="http://www.outono.net/elentir/2014/11/12/pablo-iglesias-reconoce-que-se-ha-dejado-usar-por-iran-para-desestabilizar-espana/" TargetMode="External"/><Relationship Id="rId621" Type="http://schemas.openxmlformats.org/officeDocument/2006/relationships/hyperlink" Target="https://pbs.twimg.com/media/Dtv6Sc_X4AE3Fv1.jpg" TargetMode="External"/><Relationship Id="rId1044" Type="http://schemas.openxmlformats.org/officeDocument/2006/relationships/hyperlink" Target="https://pbs.twimg.com/media/Dt1peo0XcAAUAfH.jpg" TargetMode="External"/><Relationship Id="rId1251" Type="http://schemas.openxmlformats.org/officeDocument/2006/relationships/hyperlink" Target="https://youtu.be/vhkVr7U0QgQ" TargetMode="External"/><Relationship Id="rId1349" Type="http://schemas.openxmlformats.org/officeDocument/2006/relationships/hyperlink" Target="https://eldebate.es/politica-de-estado/las-4-menciones-a-espana-que-podemos-borro-del-discurso-de-pablo-iglesias-tras-el-2-d-20181207" TargetMode="External"/><Relationship Id="rId2081" Type="http://schemas.openxmlformats.org/officeDocument/2006/relationships/hyperlink" Target="http://pic.twitter.com/vuWBgcZKKG" TargetMode="External"/><Relationship Id="rId2179" Type="http://schemas.openxmlformats.org/officeDocument/2006/relationships/hyperlink" Target="https://twitter.com/gabylopez83/status/1070802485986684929" TargetMode="External"/><Relationship Id="rId2302" Type="http://schemas.openxmlformats.org/officeDocument/2006/relationships/hyperlink" Target="https://pbs.twimg.com/media/Dtq8M2DXgAEh9wE.jpg" TargetMode="External"/><Relationship Id="rId260" Type="http://schemas.openxmlformats.org/officeDocument/2006/relationships/hyperlink" Target="http://page.is/ruben-dario" TargetMode="External"/><Relationship Id="rId719" Type="http://schemas.openxmlformats.org/officeDocument/2006/relationships/hyperlink" Target="https://twitter.com/Enriquitaun/status/1070802513023115271" TargetMode="External"/><Relationship Id="rId926" Type="http://schemas.openxmlformats.org/officeDocument/2006/relationships/hyperlink" Target="https://pbs.twimg.com/media/Dt1_fzFWsAEq_N7.jpg" TargetMode="External"/><Relationship Id="rId1111" Type="http://schemas.openxmlformats.org/officeDocument/2006/relationships/hyperlink" Target="http://pic.twitter.com/wV4vr3vabV" TargetMode="External"/><Relationship Id="rId1556" Type="http://schemas.openxmlformats.org/officeDocument/2006/relationships/hyperlink" Target="https://contrainformacion.es/iu-y-el-pce-presentan-una-querella-contra-entre-otros-el-rey-emerito-porque-esta-monarquia-no-es-trigo-limpio-aunque-hoy-nos-den-lecciones-de-democracia/" TargetMode="External"/><Relationship Id="rId1763" Type="http://schemas.openxmlformats.org/officeDocument/2006/relationships/hyperlink" Target="http://pic.twitter.com/olBsqQ6fg7" TargetMode="External"/><Relationship Id="rId1970" Type="http://schemas.openxmlformats.org/officeDocument/2006/relationships/hyperlink" Target="http://dlvr.it/Qt2Hht" TargetMode="External"/><Relationship Id="rId2386" Type="http://schemas.openxmlformats.org/officeDocument/2006/relationships/hyperlink" Target="http://a.msn.com/01/es-es/BBQzGwm?ocid=st" TargetMode="External"/><Relationship Id="rId55" Type="http://schemas.openxmlformats.org/officeDocument/2006/relationships/hyperlink" Target="http://www.outono.net/elentir/2014/11/12/pablo-iglesias-reconoce-que-se-ha-dejado-usar-por-iran-para-desestabilizar-espana/" TargetMode="External"/><Relationship Id="rId120" Type="http://schemas.openxmlformats.org/officeDocument/2006/relationships/hyperlink" Target="http://chng.it/PQTj95Wc" TargetMode="External"/><Relationship Id="rId358" Type="http://schemas.openxmlformats.org/officeDocument/2006/relationships/hyperlink" Target="https://twitter.com/Alternativa_VOX/status/1071358064073338880" TargetMode="External"/><Relationship Id="rId565" Type="http://schemas.openxmlformats.org/officeDocument/2006/relationships/hyperlink" Target="https://twitter.com/hermanntertsch/status/1071042034797035520" TargetMode="External"/><Relationship Id="rId772" Type="http://schemas.openxmlformats.org/officeDocument/2006/relationships/hyperlink" Target="https://www.larazon.es/espana/el-dia-que-julio-anguita-pidio-el-voto-para-la-extrema-derecha-IP20859010" TargetMode="External"/><Relationship Id="rId1195" Type="http://schemas.openxmlformats.org/officeDocument/2006/relationships/hyperlink" Target="https://twitter.com/elangelfacha/status/1071024917762768896" TargetMode="External"/><Relationship Id="rId1209" Type="http://schemas.openxmlformats.org/officeDocument/2006/relationships/hyperlink" Target="http://pic.twitter.com/cVkKXPTYIm" TargetMode="External"/><Relationship Id="rId1416" Type="http://schemas.openxmlformats.org/officeDocument/2006/relationships/hyperlink" Target="https://www.facebook.com/1455511311374729/posts/2209098209349365/" TargetMode="External"/><Relationship Id="rId1623" Type="http://schemas.openxmlformats.org/officeDocument/2006/relationships/hyperlink" Target="https://youtu.be/RaSIX4-RPAI" TargetMode="External"/><Relationship Id="rId1830" Type="http://schemas.openxmlformats.org/officeDocument/2006/relationships/hyperlink" Target="https://www.facebook.com/groups/1523383624657240/?fref=nf" TargetMode="External"/><Relationship Id="rId2039" Type="http://schemas.openxmlformats.org/officeDocument/2006/relationships/hyperlink" Target="https://www.elmatinal.com/actualidad/piden-la-detencion-de-pablo-iglesias-por-ser-el-promotor-de-las-violentas-manifestaciones-contra-vox-en-andalucia/" TargetMode="External"/><Relationship Id="rId2246" Type="http://schemas.openxmlformats.org/officeDocument/2006/relationships/hyperlink" Target="https://pbs.twimg.com/media/DtwjsWXW0AAnysk.jpg" TargetMode="External"/><Relationship Id="rId2453" Type="http://schemas.openxmlformats.org/officeDocument/2006/relationships/hyperlink" Target="https://twitter.com/espdespierta/status/1070766505560817664" TargetMode="External"/><Relationship Id="rId218" Type="http://schemas.openxmlformats.org/officeDocument/2006/relationships/hyperlink" Target="https://pbs.twimg.com/media/Dt5X0OrXgAAiNW2.jpg" TargetMode="External"/><Relationship Id="rId425" Type="http://schemas.openxmlformats.org/officeDocument/2006/relationships/hyperlink" Target="http://pic.twitter.com/iADKUPm4Iv" TargetMode="External"/><Relationship Id="rId632" Type="http://schemas.openxmlformats.org/officeDocument/2006/relationships/hyperlink" Target="http://fnpi.org/es/etica-segura/estudio-identifica-10-medios-con-mas-credibilidad-en-estados-unidos" TargetMode="External"/><Relationship Id="rId1055" Type="http://schemas.openxmlformats.org/officeDocument/2006/relationships/hyperlink" Target="https://www.youtube.com/watch?v=hm-DNijFbYk" TargetMode="External"/><Relationship Id="rId1262" Type="http://schemas.openxmlformats.org/officeDocument/2006/relationships/hyperlink" Target="http://pic.twitter.com/Vs551K2eiQ" TargetMode="External"/><Relationship Id="rId1928" Type="http://schemas.openxmlformats.org/officeDocument/2006/relationships/hyperlink" Target="http://pic.twitter.com/ik7v2RuLGR" TargetMode="External"/><Relationship Id="rId2092" Type="http://schemas.openxmlformats.org/officeDocument/2006/relationships/hyperlink" Target="http://pic.twitter.com/20yF6WPkHy" TargetMode="External"/><Relationship Id="rId2106" Type="http://schemas.openxmlformats.org/officeDocument/2006/relationships/hyperlink" Target="http://carablancanaiguata.blogspot.com/" TargetMode="External"/><Relationship Id="rId2313" Type="http://schemas.openxmlformats.org/officeDocument/2006/relationships/hyperlink" Target="https://m.facebook.com/story.php?story_fbid=2028440170572286&amp;id=100002189679524" TargetMode="External"/><Relationship Id="rId2520" Type="http://schemas.openxmlformats.org/officeDocument/2006/relationships/hyperlink" Target="https://pbs.twimg.com/media/Dtuq4NyWwAA4MTs.jpg" TargetMode="External"/><Relationship Id="rId271" Type="http://schemas.openxmlformats.org/officeDocument/2006/relationships/hyperlink" Target="http://www.ikusle.com/nueva-ocurrencia-el-gobierno-pretende-combatir-a-la-ultraderecha-de-vox-con-un-plan-de-empleo-juvenil/" TargetMode="External"/><Relationship Id="rId937" Type="http://schemas.openxmlformats.org/officeDocument/2006/relationships/hyperlink" Target="http://youtu.be/MqmsbiSiIYE" TargetMode="External"/><Relationship Id="rId1122" Type="http://schemas.openxmlformats.org/officeDocument/2006/relationships/hyperlink" Target="https://pbs.twimg.com/media/Dt1X4jnW4AEyphX.jpg" TargetMode="External"/><Relationship Id="rId1567" Type="http://schemas.openxmlformats.org/officeDocument/2006/relationships/hyperlink" Target="https://contrainformacion.es/iu-y-el-pce-presentan-una-querella-contra-entre-otros-el-rey-emerito-porque-esta-monarquia-no-es-trigo-limpio-aunque-hoy-nos-den-lecciones-de-democracia/" TargetMode="External"/><Relationship Id="rId1774" Type="http://schemas.openxmlformats.org/officeDocument/2006/relationships/hyperlink" Target="https://pbs.twimg.com/media/DtzWVd_WsAA5sKX.jpg" TargetMode="External"/><Relationship Id="rId1981" Type="http://schemas.openxmlformats.org/officeDocument/2006/relationships/hyperlink" Target="https://deporteysociedadblog.wordpress.com/" TargetMode="External"/><Relationship Id="rId2397" Type="http://schemas.openxmlformats.org/officeDocument/2006/relationships/hyperlink" Target="https://twitter.com/liberal_mirada/status/1070577276318859264" TargetMode="External"/><Relationship Id="rId66" Type="http://schemas.openxmlformats.org/officeDocument/2006/relationships/hyperlink" Target="http://elmetropolitanodemadrid.blogspot.com/2018/10/pablo-iglesias-nos-preparamos-para.html" TargetMode="External"/><Relationship Id="rId131" Type="http://schemas.openxmlformats.org/officeDocument/2006/relationships/hyperlink" Target="http://www.oyeven.com/" TargetMode="External"/><Relationship Id="rId369" Type="http://schemas.openxmlformats.org/officeDocument/2006/relationships/hyperlink" Target="https://bit.ly/2G6tOJK" TargetMode="External"/><Relationship Id="rId576" Type="http://schemas.openxmlformats.org/officeDocument/2006/relationships/hyperlink" Target="http://620604.site123.me/" TargetMode="External"/><Relationship Id="rId783" Type="http://schemas.openxmlformats.org/officeDocument/2006/relationships/hyperlink" Target="https://www.mediterraneodigital.com/espana/comunidad-de-madrid/pablo-iglesias-me-da-vergueenza-como-espanol-que-exista-vox.html" TargetMode="External"/><Relationship Id="rId990" Type="http://schemas.openxmlformats.org/officeDocument/2006/relationships/hyperlink" Target="https://pbs.twimg.com/media/Dt1yS9ZWwAEatyt.jpg" TargetMode="External"/><Relationship Id="rId1427" Type="http://schemas.openxmlformats.org/officeDocument/2006/relationships/hyperlink" Target="http://pic.twitter.com/Zw2IMFzV8Z" TargetMode="External"/><Relationship Id="rId1634" Type="http://schemas.openxmlformats.org/officeDocument/2006/relationships/hyperlink" Target="https://twitter.com/ramonmateos30/status/1070639965737025541" TargetMode="External"/><Relationship Id="rId1841" Type="http://schemas.openxmlformats.org/officeDocument/2006/relationships/hyperlink" Target="http://www.facebook.com/fernando.jimenez.12720" TargetMode="External"/><Relationship Id="rId2257" Type="http://schemas.openxmlformats.org/officeDocument/2006/relationships/hyperlink" Target="https://twitter.com/bellaindomita/status/1070277036290260992" TargetMode="External"/><Relationship Id="rId2464" Type="http://schemas.openxmlformats.org/officeDocument/2006/relationships/hyperlink" Target="https://okdiario.com/espana/2018/12/05/iglesias-plantea-ciudadanos-que-ponga-encima-mesa-acuerdo-andalucia-3430367/amp" TargetMode="External"/><Relationship Id="rId229" Type="http://schemas.openxmlformats.org/officeDocument/2006/relationships/hyperlink" Target="https://ift.tt/2E8iJVR" TargetMode="External"/><Relationship Id="rId436" Type="http://schemas.openxmlformats.org/officeDocument/2006/relationships/hyperlink" Target="https://www.cope.es/n/306466" TargetMode="External"/><Relationship Id="rId643" Type="http://schemas.openxmlformats.org/officeDocument/2006/relationships/hyperlink" Target="http://atres.red/qnnvr2" TargetMode="External"/><Relationship Id="rId1066" Type="http://schemas.openxmlformats.org/officeDocument/2006/relationships/hyperlink" Target="https://www.elmundo.es/baleares/2018/12/07/5c0a31e8fc6c83ee428b45c5.html" TargetMode="External"/><Relationship Id="rId1273" Type="http://schemas.openxmlformats.org/officeDocument/2006/relationships/hyperlink" Target="https://twitter.com/CPU_Police/status/1071070897522597890" TargetMode="External"/><Relationship Id="rId1480" Type="http://schemas.openxmlformats.org/officeDocument/2006/relationships/hyperlink" Target="https://youtu.be/btIyaP0IMeo" TargetMode="External"/><Relationship Id="rId1939" Type="http://schemas.openxmlformats.org/officeDocument/2006/relationships/hyperlink" Target="https://pbs.twimg.com/media/Dty7opVXgAEy6sf.jpg" TargetMode="External"/><Relationship Id="rId2117" Type="http://schemas.openxmlformats.org/officeDocument/2006/relationships/hyperlink" Target="https://pbs.twimg.com/media/DtxNNloXQAEzHps.jpg" TargetMode="External"/><Relationship Id="rId2324" Type="http://schemas.openxmlformats.org/officeDocument/2006/relationships/hyperlink" Target="https://pbs.twimg.com/media/Dtv7diHX4AAZFtV.jpg" TargetMode="External"/><Relationship Id="rId850" Type="http://schemas.openxmlformats.org/officeDocument/2006/relationships/hyperlink" Target="https://www.alertanacional.es/la-democracia-explicada-con-sencillez-a-pablo-iglesias/" TargetMode="External"/><Relationship Id="rId948" Type="http://schemas.openxmlformats.org/officeDocument/2006/relationships/hyperlink" Target="https://gab.com/" TargetMode="External"/><Relationship Id="rId1133" Type="http://schemas.openxmlformats.org/officeDocument/2006/relationships/hyperlink" Target="https://youtu.be/hm-DNijFbYk" TargetMode="External"/><Relationship Id="rId1578" Type="http://schemas.openxmlformats.org/officeDocument/2006/relationships/hyperlink" Target="https://pbs.twimg.com/media/DtwB-hwXcAAuCul.jpg" TargetMode="External"/><Relationship Id="rId1701" Type="http://schemas.openxmlformats.org/officeDocument/2006/relationships/hyperlink" Target="http://instagram.com/israelico" TargetMode="External"/><Relationship Id="rId1785" Type="http://schemas.openxmlformats.org/officeDocument/2006/relationships/hyperlink" Target="http://www.elsebas.net/" TargetMode="External"/><Relationship Id="rId1992" Type="http://schemas.openxmlformats.org/officeDocument/2006/relationships/hyperlink" Target="http://www.larazon.es/" TargetMode="External"/><Relationship Id="rId2531" Type="http://schemas.openxmlformats.org/officeDocument/2006/relationships/hyperlink" Target="https://www.e-noticies.es/" TargetMode="External"/><Relationship Id="rId77" Type="http://schemas.openxmlformats.org/officeDocument/2006/relationships/hyperlink" Target="https://www.facebook.com/jrvalerodiez/posts/2435426979808026" TargetMode="External"/><Relationship Id="rId282" Type="http://schemas.openxmlformats.org/officeDocument/2006/relationships/hyperlink" Target="https://www.periodistadigital.com/ocio-y-cultura/gente/2018/12/08/bertin-osborne-hunde-miseria-pablo-iglesias-no-voto-muerto-borracho-vino.shtml" TargetMode="External"/><Relationship Id="rId503" Type="http://schemas.openxmlformats.org/officeDocument/2006/relationships/hyperlink" Target="http://www.garcialanda.net/" TargetMode="External"/><Relationship Id="rId587" Type="http://schemas.openxmlformats.org/officeDocument/2006/relationships/hyperlink" Target="https://twitter.com/MorenoG_Agustin/status/1071132248479535107" TargetMode="External"/><Relationship Id="rId710" Type="http://schemas.openxmlformats.org/officeDocument/2006/relationships/hyperlink" Target="http://www.saenzsotogrande.blogspot.com/" TargetMode="External"/><Relationship Id="rId808" Type="http://schemas.openxmlformats.org/officeDocument/2006/relationships/hyperlink" Target="https://eldebate.es/politica-de-estado/las-4-menciones-a-espana-que-podemos-borro-del-discurso-de-pablo-iglesias-tras-el-2-d-20181207?utm_medium=social&amp;utm_source=twitter&amp;utm_campaign=shareweb&amp;utm_content=footer&amp;utm_origin=footer" TargetMode="External"/><Relationship Id="rId1340" Type="http://schemas.openxmlformats.org/officeDocument/2006/relationships/hyperlink" Target="https://pbs.twimg.com/media/Dt0pLl8XQAABysq.jpg" TargetMode="External"/><Relationship Id="rId1438" Type="http://schemas.openxmlformats.org/officeDocument/2006/relationships/hyperlink" Target="https://twitter.com/mubrutico/status/618002580317294592" TargetMode="External"/><Relationship Id="rId1645" Type="http://schemas.openxmlformats.org/officeDocument/2006/relationships/hyperlink" Target="https://pbs.twimg.com/media/Dtzx9YGW4AEDbbW.jpg" TargetMode="External"/><Relationship Id="rId2170" Type="http://schemas.openxmlformats.org/officeDocument/2006/relationships/hyperlink" Target="https://www.esdiario.com/453023193/El-video-de-un-jovencisimo-Santiago-Abascal-que-deberia-dar-verguenza-a-Podemos.html" TargetMode="External"/><Relationship Id="rId2268" Type="http://schemas.openxmlformats.org/officeDocument/2006/relationships/hyperlink" Target="https://twitter.com/OrbitaEduardo/status/1070711855272869889" TargetMode="External"/><Relationship Id="rId8" Type="http://schemas.openxmlformats.org/officeDocument/2006/relationships/hyperlink" Target="http://page.is/vh" TargetMode="External"/><Relationship Id="rId142" Type="http://schemas.openxmlformats.org/officeDocument/2006/relationships/hyperlink" Target="http://www.outono.net/elentir/2018/12/07/el-rey-llamo-a-pablo-iglesias-para-preocuparse-por-sus-hijos-y-asi-se-lo-ha-agradecido-iglesias/" TargetMode="External"/><Relationship Id="rId447" Type="http://schemas.openxmlformats.org/officeDocument/2006/relationships/hyperlink" Target="https://www.periodistadigital.com/ocio-y-cultura/gente/2018/12/08/bertin-osborne-hunde-miseria-pablo-iglesias-no-voto-muerto-borracho-vino.shtml" TargetMode="External"/><Relationship Id="rId794" Type="http://schemas.openxmlformats.org/officeDocument/2006/relationships/hyperlink" Target="http://chng.it/xrH8RSFm" TargetMode="External"/><Relationship Id="rId1077" Type="http://schemas.openxmlformats.org/officeDocument/2006/relationships/hyperlink" Target="http://catalananalyst.blogspot.com.es/" TargetMode="External"/><Relationship Id="rId1200" Type="http://schemas.openxmlformats.org/officeDocument/2006/relationships/hyperlink" Target="http://okdiario.com/" TargetMode="External"/><Relationship Id="rId1852" Type="http://schemas.openxmlformats.org/officeDocument/2006/relationships/hyperlink" Target="https://www.esdiario.com/781025410/Pablo-Iglesias-se-desespera-al-quedarse-solo-en-su-caceria-al-Rey-Juan-Carlos.html" TargetMode="External"/><Relationship Id="rId2030" Type="http://schemas.openxmlformats.org/officeDocument/2006/relationships/hyperlink" Target="https://bit.ly/2G3v4NI" TargetMode="External"/><Relationship Id="rId2128" Type="http://schemas.openxmlformats.org/officeDocument/2006/relationships/hyperlink" Target="https://pbs.twimg.com/media/DtxOZAGXcAEtsv3.jpg" TargetMode="External"/><Relationship Id="rId2475" Type="http://schemas.openxmlformats.org/officeDocument/2006/relationships/hyperlink" Target="https://twitter.com/AscoMalaga/status/1070763607128981509" TargetMode="External"/><Relationship Id="rId654" Type="http://schemas.openxmlformats.org/officeDocument/2006/relationships/hyperlink" Target="https://www.periodistadigital.com/ocio-y-cultura/gente/2018/12/08/bertin-osborne-hunde-miseria-pablo-iglesias-no-voto-muerto-borracho-vino.shtml" TargetMode="External"/><Relationship Id="rId861" Type="http://schemas.openxmlformats.org/officeDocument/2006/relationships/hyperlink" Target="http://pic.twitter.com/fd1YPBIglM" TargetMode="External"/><Relationship Id="rId959" Type="http://schemas.openxmlformats.org/officeDocument/2006/relationships/hyperlink" Target="https://twitter.com/infiltradoxxx/status/1070783826413129729" TargetMode="External"/><Relationship Id="rId1284" Type="http://schemas.openxmlformats.org/officeDocument/2006/relationships/hyperlink" Target="https://pbs.twimg.com/media/Dt029wYWoAABnRi.jpg" TargetMode="External"/><Relationship Id="rId1491" Type="http://schemas.openxmlformats.org/officeDocument/2006/relationships/hyperlink" Target="http://youtu.be/3eLKQ-zSPsk?a" TargetMode="External"/><Relationship Id="rId1505" Type="http://schemas.openxmlformats.org/officeDocument/2006/relationships/hyperlink" Target="https://twitter.com/arturelpayaso2/status/1070703901127651329" TargetMode="External"/><Relationship Id="rId1589" Type="http://schemas.openxmlformats.org/officeDocument/2006/relationships/hyperlink" Target="http://www.radiosportdjs.com/" TargetMode="External"/><Relationship Id="rId1712" Type="http://schemas.openxmlformats.org/officeDocument/2006/relationships/hyperlink" Target="http://www.gppmurcia.org/" TargetMode="External"/><Relationship Id="rId2335" Type="http://schemas.openxmlformats.org/officeDocument/2006/relationships/hyperlink" Target="https://www.elmatinal.com/actualidad/piden-la-detencion-de-pablo-iglesias-por-ser-el-promotor-de-las-violentas-manifestaciones-contra-vox-en-andalucia/" TargetMode="External"/><Relationship Id="rId2542" Type="http://schemas.openxmlformats.org/officeDocument/2006/relationships/hyperlink" Target="https://pbs.twimg.com/media/DtwZnPxXcAASiYK.jpg" TargetMode="External"/><Relationship Id="rId293" Type="http://schemas.openxmlformats.org/officeDocument/2006/relationships/hyperlink" Target="http://www.elmundo.es/opinion/2018/12/08/5c081e04fdddff5b688b4717.html" TargetMode="External"/><Relationship Id="rId307" Type="http://schemas.openxmlformats.org/officeDocument/2006/relationships/hyperlink" Target="https://blogs.publico.es/dominiopublico/27340/carta-al-tipo-que-mando-una-carta-a-pablo-iglesias/" TargetMode="External"/><Relationship Id="rId514" Type="http://schemas.openxmlformats.org/officeDocument/2006/relationships/hyperlink" Target="http://www.youtube.com/channel/UCT6Zy6dkQsfxARRlPOjbn0A" TargetMode="External"/><Relationship Id="rId721" Type="http://schemas.openxmlformats.org/officeDocument/2006/relationships/hyperlink" Target="https://www.elmundo.es/loc/famosos/2018/12/08/5c0a3ffffc6c8320198b45e5.html" TargetMode="External"/><Relationship Id="rId1144" Type="http://schemas.openxmlformats.org/officeDocument/2006/relationships/hyperlink" Target="https://twitter.com/pamfoundation/status/1069559265713668096" TargetMode="External"/><Relationship Id="rId1351" Type="http://schemas.openxmlformats.org/officeDocument/2006/relationships/hyperlink" Target="https://pbs.twimg.com/media/Dt0ohDnWsAAj3PH.jpg" TargetMode="External"/><Relationship Id="rId1449" Type="http://schemas.openxmlformats.org/officeDocument/2006/relationships/hyperlink" Target="http://pic.twitter.com/4aSzRmT6ek" TargetMode="External"/><Relationship Id="rId1796" Type="http://schemas.openxmlformats.org/officeDocument/2006/relationships/hyperlink" Target="http://podemosparla.org/" TargetMode="External"/><Relationship Id="rId2181" Type="http://schemas.openxmlformats.org/officeDocument/2006/relationships/hyperlink" Target="http://youtu.be/ICi8x1lwVD4?a" TargetMode="External"/><Relationship Id="rId2402" Type="http://schemas.openxmlformats.org/officeDocument/2006/relationships/hyperlink" Target="http://pic.twitter.com/RHQpbNJCKo" TargetMode="External"/><Relationship Id="rId88" Type="http://schemas.openxmlformats.org/officeDocument/2006/relationships/hyperlink" Target="https://www.marca.com/tiramillas/actualidad/2018/12/08/5c0bb52022601dd0208b465d.html?utm_source=dlvr.it&amp;utm_medium=twitter" TargetMode="External"/><Relationship Id="rId153" Type="http://schemas.openxmlformats.org/officeDocument/2006/relationships/hyperlink" Target="https://blogs.publico.es/dominiopublico/27340/carta-al-tipo-que-mando-una-carta-a-pablo-iglesias/" TargetMode="External"/><Relationship Id="rId360" Type="http://schemas.openxmlformats.org/officeDocument/2006/relationships/hyperlink" Target="https://twitter.com/clubdeviernes/status/1071347433446260736" TargetMode="External"/><Relationship Id="rId598" Type="http://schemas.openxmlformats.org/officeDocument/2006/relationships/hyperlink" Target="https://m.publico.es/economia/2071704/la-corrupcion-hace-que-espana-pierda-mas-90000-millones-al-ano" TargetMode="External"/><Relationship Id="rId819" Type="http://schemas.openxmlformats.org/officeDocument/2006/relationships/hyperlink" Target="http://youtu.be/v2_qo6LMSsA?a" TargetMode="External"/><Relationship Id="rId1004" Type="http://schemas.openxmlformats.org/officeDocument/2006/relationships/hyperlink" Target="https://twitter.com/BernaldoDQuiros/status/1071115234557992960" TargetMode="External"/><Relationship Id="rId1211" Type="http://schemas.openxmlformats.org/officeDocument/2006/relationships/hyperlink" Target="http://pic.twitter.com/JNOIm4oxA8" TargetMode="External"/><Relationship Id="rId1656" Type="http://schemas.openxmlformats.org/officeDocument/2006/relationships/hyperlink" Target="https://twitter.com/IomTT2017" TargetMode="External"/><Relationship Id="rId1863" Type="http://schemas.openxmlformats.org/officeDocument/2006/relationships/hyperlink" Target="http://jagvaldezate.blogspot.com.es/" TargetMode="External"/><Relationship Id="rId2041" Type="http://schemas.openxmlformats.org/officeDocument/2006/relationships/hyperlink" Target="https://pbs.twimg.com/media/DtxgfTvWsAAoLtd.jpg" TargetMode="External"/><Relationship Id="rId2279" Type="http://schemas.openxmlformats.org/officeDocument/2006/relationships/hyperlink" Target="http://dlvr.it/Qt16Fc" TargetMode="External"/><Relationship Id="rId2486" Type="http://schemas.openxmlformats.org/officeDocument/2006/relationships/hyperlink" Target="https://twitter.com/arturelpayaso2/status/1070703901127651329" TargetMode="External"/><Relationship Id="rId220" Type="http://schemas.openxmlformats.org/officeDocument/2006/relationships/hyperlink" Target="https://pbs.twimg.com/media/Dt5XuBAU8AEq2me.jpg" TargetMode="External"/><Relationship Id="rId458" Type="http://schemas.openxmlformats.org/officeDocument/2006/relationships/hyperlink" Target="https://twitter.com/hospederiavc/status/1071153677245796352" TargetMode="External"/><Relationship Id="rId665" Type="http://schemas.openxmlformats.org/officeDocument/2006/relationships/hyperlink" Target="https://www.elmundo.es/loc/famosos/2018/12/08/5c0a3ffffc6c8320198b45e5.html" TargetMode="External"/><Relationship Id="rId872" Type="http://schemas.openxmlformats.org/officeDocument/2006/relationships/hyperlink" Target="https://www.elespanol.com/opinion/columnas/20181207/constitucion-quiere-podemos/358844117_13.html" TargetMode="External"/><Relationship Id="rId1088" Type="http://schemas.openxmlformats.org/officeDocument/2006/relationships/hyperlink" Target="https://pbs.twimg.com/media/Dt1gM2zW0AAAyaC.jpg" TargetMode="External"/><Relationship Id="rId1295" Type="http://schemas.openxmlformats.org/officeDocument/2006/relationships/hyperlink" Target="https://twitter.com/hispanovisigoda/status/1070637285853540352" TargetMode="External"/><Relationship Id="rId1309" Type="http://schemas.openxmlformats.org/officeDocument/2006/relationships/hyperlink" Target="http://about.me/raul.sanchez" TargetMode="External"/><Relationship Id="rId1516" Type="http://schemas.openxmlformats.org/officeDocument/2006/relationships/hyperlink" Target="http://www.youtube.com/user/PabloHaselOficial" TargetMode="External"/><Relationship Id="rId1723" Type="http://schemas.openxmlformats.org/officeDocument/2006/relationships/hyperlink" Target="http://elradio.es/" TargetMode="External"/><Relationship Id="rId1930" Type="http://schemas.openxmlformats.org/officeDocument/2006/relationships/hyperlink" Target="https://m.eldiario.es/32458238_843416120/" TargetMode="External"/><Relationship Id="rId2139" Type="http://schemas.openxmlformats.org/officeDocument/2006/relationships/hyperlink" Target="https://albacetecapital.com/category/elcatalejo/" TargetMode="External"/><Relationship Id="rId2346" Type="http://schemas.openxmlformats.org/officeDocument/2006/relationships/hyperlink" Target="https://f7td5.app.goo.gl/m3vAY" TargetMode="External"/><Relationship Id="rId2553" Type="http://schemas.openxmlformats.org/officeDocument/2006/relationships/hyperlink" Target="https://elpais.com/politica/2018/12/06/actualidad/1544100381_203267.html?id_externo_rsoc=TW_CC" TargetMode="External"/><Relationship Id="rId15" Type="http://schemas.openxmlformats.org/officeDocument/2006/relationships/hyperlink" Target="https://www.periodistadigital.com/opinion/cartas-al-director/2018/12/08/carta-abierta-de-santiago-abascal-a-pablo-iglesias-lo-tienes-crudo.shtml" TargetMode="External"/><Relationship Id="rId318" Type="http://schemas.openxmlformats.org/officeDocument/2006/relationships/hyperlink" Target="http://www.ramblalibre.com/" TargetMode="External"/><Relationship Id="rId525" Type="http://schemas.openxmlformats.org/officeDocument/2006/relationships/hyperlink" Target="http://contracobardes.blogspot.com.es/?m=1" TargetMode="External"/><Relationship Id="rId732" Type="http://schemas.openxmlformats.org/officeDocument/2006/relationships/hyperlink" Target="https://twitter.com/adela_vila/status/1071216493868785664" TargetMode="External"/><Relationship Id="rId1155" Type="http://schemas.openxmlformats.org/officeDocument/2006/relationships/hyperlink" Target="http://derechosocultosespana.blogspot.com.es/2018/05/mientras-no-consigamos-entre-todos-ese.html" TargetMode="External"/><Relationship Id="rId1362" Type="http://schemas.openxmlformats.org/officeDocument/2006/relationships/hyperlink" Target="https://gritandolibertadhoy.blogspot.com/" TargetMode="External"/><Relationship Id="rId2192" Type="http://schemas.openxmlformats.org/officeDocument/2006/relationships/hyperlink" Target="https://profiles.google.com/abelfranc" TargetMode="External"/><Relationship Id="rId2206" Type="http://schemas.openxmlformats.org/officeDocument/2006/relationships/hyperlink" Target="http://www.leyviolenciaintrafamiliarya.org/" TargetMode="External"/><Relationship Id="rId2413" Type="http://schemas.openxmlformats.org/officeDocument/2006/relationships/hyperlink" Target="https://twitter.com/Elias_Parada_S/status/1070711414258581504" TargetMode="External"/><Relationship Id="rId99" Type="http://schemas.openxmlformats.org/officeDocument/2006/relationships/hyperlink" Target="https://youtu.be/UVtmdL-8zXw" TargetMode="External"/><Relationship Id="rId164" Type="http://schemas.openxmlformats.org/officeDocument/2006/relationships/hyperlink" Target="https://www.periodistadigital.com/ocio-y-cultura/gente/2018/12/08/bertin-osborne-hunde-miseria-pablo-iglesias-no-voto-muerto-borracho-vino.shtml" TargetMode="External"/><Relationship Id="rId371" Type="http://schemas.openxmlformats.org/officeDocument/2006/relationships/hyperlink" Target="https://twitter.com/hermanntertsch/status/1071325956009287680" TargetMode="External"/><Relationship Id="rId1015" Type="http://schemas.openxmlformats.org/officeDocument/2006/relationships/hyperlink" Target="https://pbs.twimg.com/media/Dt1ufEuXcAAlaSD.jpg" TargetMode="External"/><Relationship Id="rId1222" Type="http://schemas.openxmlformats.org/officeDocument/2006/relationships/hyperlink" Target="https://pbs.twimg.com/media/Dtzty03XQAU4gqI.jpg" TargetMode="External"/><Relationship Id="rId1667" Type="http://schemas.openxmlformats.org/officeDocument/2006/relationships/hyperlink" Target="https://www.elmatinal.com/actualidad/piden-la-detencion-de-pablo-iglesias-por-ser-el-promotor-de-las-violentas-manifestaciones-contra-vox-en-andalucia/" TargetMode="External"/><Relationship Id="rId1874" Type="http://schemas.openxmlformats.org/officeDocument/2006/relationships/hyperlink" Target="https://ift.tt/2rlUqMx" TargetMode="External"/><Relationship Id="rId2052" Type="http://schemas.openxmlformats.org/officeDocument/2006/relationships/hyperlink" Target="https://elpais.com/politica/2018/12/06/actualidad/1544100381_203267.html" TargetMode="External"/><Relationship Id="rId2497" Type="http://schemas.openxmlformats.org/officeDocument/2006/relationships/hyperlink" Target="https://elpais.com/politica/2018/11/28/actualidad/1543424221_050040.html" TargetMode="External"/><Relationship Id="rId469" Type="http://schemas.openxmlformats.org/officeDocument/2006/relationships/hyperlink" Target="https://www.elmundo.es/loc/famosos/2018/12/08/5c0a3ffffc6c8320198b45e5.html" TargetMode="External"/><Relationship Id="rId676" Type="http://schemas.openxmlformats.org/officeDocument/2006/relationships/hyperlink" Target="https://www.elmundo.es/loc/famosos/2018/12/08/5c0a3ffffc6c8320198b45e5.html" TargetMode="External"/><Relationship Id="rId883" Type="http://schemas.openxmlformats.org/officeDocument/2006/relationships/hyperlink" Target="http://www.que.es/" TargetMode="External"/><Relationship Id="rId1099" Type="http://schemas.openxmlformats.org/officeDocument/2006/relationships/hyperlink" Target="https://www.mediterraneodigital.com/espana/comunidad-de-madrid/pablo-iglesias-me-da-vergueenza-como-espanol-que-exista-vox.html" TargetMode="External"/><Relationship Id="rId1527" Type="http://schemas.openxmlformats.org/officeDocument/2006/relationships/hyperlink" Target="https://m.eldiario.es/_32458238" TargetMode="External"/><Relationship Id="rId1734" Type="http://schemas.openxmlformats.org/officeDocument/2006/relationships/hyperlink" Target="http://page.is/monnissima" TargetMode="External"/><Relationship Id="rId1941" Type="http://schemas.openxmlformats.org/officeDocument/2006/relationships/hyperlink" Target="https://twitter.com/Bcnisnotcat_/status/1070801745968852992" TargetMode="External"/><Relationship Id="rId2357" Type="http://schemas.openxmlformats.org/officeDocument/2006/relationships/hyperlink" Target="http://www.sumarium.es/" TargetMode="External"/><Relationship Id="rId2564" Type="http://schemas.openxmlformats.org/officeDocument/2006/relationships/hyperlink" Target="http://www.colombiaquiere.com/" TargetMode="External"/><Relationship Id="rId26" Type="http://schemas.openxmlformats.org/officeDocument/2006/relationships/hyperlink" Target="http://ramblalibre.com/2018/12/08/carta-a-pablo-iglesias-eres-un-botarate-rancio-al-que-solo-votan-las-emporradas/" TargetMode="External"/><Relationship Id="rId231" Type="http://schemas.openxmlformats.org/officeDocument/2006/relationships/hyperlink" Target="https://goo.gl/dVfLX3?ewp96=5175589941" TargetMode="External"/><Relationship Id="rId329" Type="http://schemas.openxmlformats.org/officeDocument/2006/relationships/hyperlink" Target="https://www.instagram.com/joaquinloopez/?hl=es" TargetMode="External"/><Relationship Id="rId536" Type="http://schemas.openxmlformats.org/officeDocument/2006/relationships/hyperlink" Target="https://casoaislado.com/abascal-culpa-a-iglesias-del-ataque-a-dos-afiliados-de-vox-hasta-cuando-vais-a-seguir-los-comunistas-rompiendo-la-convivencia/" TargetMode="External"/><Relationship Id="rId1166" Type="http://schemas.openxmlformats.org/officeDocument/2006/relationships/hyperlink" Target="https://pbs.twimg.com/media/Dt1Sk1vVAAANxKu.jpg" TargetMode="External"/><Relationship Id="rId1373" Type="http://schemas.openxmlformats.org/officeDocument/2006/relationships/hyperlink" Target="https://english.danielestulin.com/" TargetMode="External"/><Relationship Id="rId2217" Type="http://schemas.openxmlformats.org/officeDocument/2006/relationships/hyperlink" Target="https://pbs.twimg.com/media/Dtw9vegX4AM_jA3.jpg" TargetMode="External"/><Relationship Id="rId175" Type="http://schemas.openxmlformats.org/officeDocument/2006/relationships/hyperlink" Target="https://twitter.com/yosoynaranjito_/status/1071351219535396864?s=19" TargetMode="External"/><Relationship Id="rId743" Type="http://schemas.openxmlformats.org/officeDocument/2006/relationships/hyperlink" Target="https://elheraldomontanes.wordpress.com/2018/12/04/carta-abierta-a-pablo-iglesias-de-un-fascista-juan-manuel-jimenez-munoz-medico-y-escritor-malagueno/" TargetMode="External"/><Relationship Id="rId950" Type="http://schemas.openxmlformats.org/officeDocument/2006/relationships/hyperlink" Target="http://youtu.be/VaUF75JLF4o?a" TargetMode="External"/><Relationship Id="rId1026" Type="http://schemas.openxmlformats.org/officeDocument/2006/relationships/hyperlink" Target="https://sevilla.abc.es/elecciones/andalucia/sevi-carta-medico-malaga-pablo-iglesias-201812041654_noticia.html?fbclid=IwAR2Rus2c4Gv7zxhJncLYw4HZj2HICjDKt7KSJEoMNyjL6itwX-QT0WzDuxc" TargetMode="External"/><Relationship Id="rId1580" Type="http://schemas.openxmlformats.org/officeDocument/2006/relationships/hyperlink" Target="https://www.periodistadigital.com/periodismo/prensa/2018/12/07/payasada-casposa-podemos-cuelan-logo-republica-marca-champu-wella-balsam-pablo-iglesias.shtml" TargetMode="External"/><Relationship Id="rId1678" Type="http://schemas.openxmlformats.org/officeDocument/2006/relationships/hyperlink" Target="https://www.youtube.com/channel/UCzxgc4H0oHpD_o05R7wmEAA/videos" TargetMode="External"/><Relationship Id="rId1801" Type="http://schemas.openxmlformats.org/officeDocument/2006/relationships/hyperlink" Target="http://www.elmundo.es/baleares.html" TargetMode="External"/><Relationship Id="rId1885" Type="http://schemas.openxmlformats.org/officeDocument/2006/relationships/hyperlink" Target="http://www.bitmomentum.com/" TargetMode="External"/><Relationship Id="rId2424" Type="http://schemas.openxmlformats.org/officeDocument/2006/relationships/hyperlink" Target="https://youtu.be/3eLKQ-zSPsk" TargetMode="External"/><Relationship Id="rId382" Type="http://schemas.openxmlformats.org/officeDocument/2006/relationships/hyperlink" Target="http://www.flapa.es/" TargetMode="External"/><Relationship Id="rId603" Type="http://schemas.openxmlformats.org/officeDocument/2006/relationships/hyperlink" Target="http://noticiarioespanol.com/" TargetMode="External"/><Relationship Id="rId687" Type="http://schemas.openxmlformats.org/officeDocument/2006/relationships/hyperlink" Target="http://www.outono.net/elentir/2018/12/07/el-rey-llamo-a-pablo-iglesias-para-preocuparse-por-sus-hijos-y-asi-se-lo-ha-agradecido-iglesias/" TargetMode="External"/><Relationship Id="rId810" Type="http://schemas.openxmlformats.org/officeDocument/2006/relationships/hyperlink" Target="https://youtu.be/MFaF4dgB0jk" TargetMode="External"/><Relationship Id="rId908" Type="http://schemas.openxmlformats.org/officeDocument/2006/relationships/hyperlink" Target="https://youtu.be/HKVoh7ypmH0" TargetMode="External"/><Relationship Id="rId1233" Type="http://schemas.openxmlformats.org/officeDocument/2006/relationships/hyperlink" Target="http://pic.twitter.com/H7owNGALcE" TargetMode="External"/><Relationship Id="rId1440" Type="http://schemas.openxmlformats.org/officeDocument/2006/relationships/hyperlink" Target="https://youtu.be/10GbLcvIVTQ" TargetMode="External"/><Relationship Id="rId1538" Type="http://schemas.openxmlformats.org/officeDocument/2006/relationships/hyperlink" Target="https://elpais.com/politica/2018/11/28/actualidad/1543424221_050040.html?id_externo_rsoc=TW_CC" TargetMode="External"/><Relationship Id="rId2063" Type="http://schemas.openxmlformats.org/officeDocument/2006/relationships/hyperlink" Target="https://twitter.com/ahorapodemos/status/1070746451364495360" TargetMode="External"/><Relationship Id="rId2270" Type="http://schemas.openxmlformats.org/officeDocument/2006/relationships/hyperlink" Target="http://dlvr.it/Qt16tx" TargetMode="External"/><Relationship Id="rId2368" Type="http://schemas.openxmlformats.org/officeDocument/2006/relationships/hyperlink" Target="https://twitter.com/Lamismamente/status/1070442062133239810" TargetMode="External"/><Relationship Id="rId242" Type="http://schemas.openxmlformats.org/officeDocument/2006/relationships/hyperlink" Target="https://www.change.org/p/ministerio-de-justicia-pena-de-prisi%C3%B3n-de-1-a-4-a%C3%B1os-para-pablo-iglesias-por-delito-de-odio/psf/promote_or_share" TargetMode="External"/><Relationship Id="rId894" Type="http://schemas.openxmlformats.org/officeDocument/2006/relationships/hyperlink" Target="https://noticierouniversal.com/actualidad/la-democracia-explicada-con-sencillez-a-pablo-iglesias/" TargetMode="External"/><Relationship Id="rId1177" Type="http://schemas.openxmlformats.org/officeDocument/2006/relationships/hyperlink" Target="https://youtu.be/gjuLta58Png" TargetMode="External"/><Relationship Id="rId1300" Type="http://schemas.openxmlformats.org/officeDocument/2006/relationships/hyperlink" Target="http://www.radiobenamocarra.es/" TargetMode="External"/><Relationship Id="rId1745" Type="http://schemas.openxmlformats.org/officeDocument/2006/relationships/hyperlink" Target="https://okdiario.com/espana/andalucia/2018/12/07/podemita-que-dice-que-va-salir-matar-fascistas-fotografia-teresa-rodriguez-3437549" TargetMode="External"/><Relationship Id="rId1952" Type="http://schemas.openxmlformats.org/officeDocument/2006/relationships/hyperlink" Target="https://www.periodistadigital.com/periodismo/prensa/2018/12/07/payasada-casposa-podemos-cuelan-logo-republica-marca-champu-wella-balsam-pablo-iglesias.shtml" TargetMode="External"/><Relationship Id="rId2130" Type="http://schemas.openxmlformats.org/officeDocument/2006/relationships/hyperlink" Target="https://pbs.twimg.com/media/DtxN3owXQAEVOc0.jpg" TargetMode="External"/><Relationship Id="rId37" Type="http://schemas.openxmlformats.org/officeDocument/2006/relationships/hyperlink" Target="https://curiouscat.me/joelsiese" TargetMode="External"/><Relationship Id="rId102" Type="http://schemas.openxmlformats.org/officeDocument/2006/relationships/hyperlink" Target="https://pbs.twimg.com/media/Dt5zFP9UcAAxcA1.jpg" TargetMode="External"/><Relationship Id="rId547" Type="http://schemas.openxmlformats.org/officeDocument/2006/relationships/hyperlink" Target="https://www.periodistadigital.com/" TargetMode="External"/><Relationship Id="rId754" Type="http://schemas.openxmlformats.org/officeDocument/2006/relationships/hyperlink" Target="https://okdiario.com/videos/2018/10/04/vecino-galapagar-denuncia-que-iglesias-usa-contenedores-del-ayuntamiento-dentro-casoplon-3195749" TargetMode="External"/><Relationship Id="rId961" Type="http://schemas.openxmlformats.org/officeDocument/2006/relationships/hyperlink" Target="http://pic.twitter.com/5ysIQwy9vl" TargetMode="External"/><Relationship Id="rId1384" Type="http://schemas.openxmlformats.org/officeDocument/2006/relationships/hyperlink" Target="https://es.wikipedia.org/wiki/Kamehameha_I" TargetMode="External"/><Relationship Id="rId1591" Type="http://schemas.openxmlformats.org/officeDocument/2006/relationships/hyperlink" Target="http://www.kojackadasvarias.blogspot.com/" TargetMode="External"/><Relationship Id="rId1605" Type="http://schemas.openxmlformats.org/officeDocument/2006/relationships/hyperlink" Target="https://twitter.com/s1moron/status/1070984350257299456" TargetMode="External"/><Relationship Id="rId1689" Type="http://schemas.openxmlformats.org/officeDocument/2006/relationships/hyperlink" Target="https://blogs.publico.es/dominiopublico/27327/vox-el-error-del-psoe-en-andalucia/" TargetMode="External"/><Relationship Id="rId1812" Type="http://schemas.openxmlformats.org/officeDocument/2006/relationships/hyperlink" Target="http://bruselense.wordpress.com/" TargetMode="External"/><Relationship Id="rId2228" Type="http://schemas.openxmlformats.org/officeDocument/2006/relationships/hyperlink" Target="https://pbs.twimg.com/media/Dtw8sVZXgAAp-RI.jpg" TargetMode="External"/><Relationship Id="rId2435" Type="http://schemas.openxmlformats.org/officeDocument/2006/relationships/hyperlink" Target="https://bit.ly/2G3v4NI" TargetMode="External"/><Relationship Id="rId90" Type="http://schemas.openxmlformats.org/officeDocument/2006/relationships/hyperlink" Target="https://blogs.publico.es/dominiopublico/27340/carta-al-tipo-que-mando-una-carta-a-pablo-iglesias/" TargetMode="External"/><Relationship Id="rId186" Type="http://schemas.openxmlformats.org/officeDocument/2006/relationships/hyperlink" Target="http://instagram.com/israelico" TargetMode="External"/><Relationship Id="rId393" Type="http://schemas.openxmlformats.org/officeDocument/2006/relationships/hyperlink" Target="https://niebladebrandoni.blogspot.com.es/?m=1" TargetMode="External"/><Relationship Id="rId407" Type="http://schemas.openxmlformats.org/officeDocument/2006/relationships/hyperlink" Target="https://blogs.publico.es/dominiopublico/27340/carta-al-tipo-que-mando-una-carta-a-pablo-iglesias/" TargetMode="External"/><Relationship Id="rId614" Type="http://schemas.openxmlformats.org/officeDocument/2006/relationships/hyperlink" Target="https://okdiario.com/espana/andalucia/2018/12/07/podemita-que-dice-que-va-salir-matar-fascistas-fotografia-teresa-rodriguez-3437549/amp" TargetMode="External"/><Relationship Id="rId821" Type="http://schemas.openxmlformats.org/officeDocument/2006/relationships/hyperlink" Target="https://youtu.be/ZQNyJdfO2HQ" TargetMode="External"/><Relationship Id="rId1037" Type="http://schemas.openxmlformats.org/officeDocument/2006/relationships/hyperlink" Target="http://www.casoaislado.com/" TargetMode="External"/><Relationship Id="rId1244" Type="http://schemas.openxmlformats.org/officeDocument/2006/relationships/hyperlink" Target="http://www.multiforo.eu/Noticias/2018/Diciembre/Diciembre_07.htm" TargetMode="External"/><Relationship Id="rId1451" Type="http://schemas.openxmlformats.org/officeDocument/2006/relationships/hyperlink" Target="http://page.is/ppapanol" TargetMode="External"/><Relationship Id="rId1896" Type="http://schemas.openxmlformats.org/officeDocument/2006/relationships/hyperlink" Target="http://www.javierbotia.com/" TargetMode="External"/><Relationship Id="rId2074" Type="http://schemas.openxmlformats.org/officeDocument/2006/relationships/hyperlink" Target="https://pbs.twimg.com/media/DtxaOQNV4AAUyV2.jpg" TargetMode="External"/><Relationship Id="rId2281" Type="http://schemas.openxmlformats.org/officeDocument/2006/relationships/hyperlink" Target="http://plaza.podemos.info/" TargetMode="External"/><Relationship Id="rId2502" Type="http://schemas.openxmlformats.org/officeDocument/2006/relationships/hyperlink" Target="https://twitter.com/AfectadosCoop/status/1070762433189502977" TargetMode="External"/><Relationship Id="rId253" Type="http://schemas.openxmlformats.org/officeDocument/2006/relationships/hyperlink" Target="https://www.nuevatribuna.es/articulo/economia/verdes-europeos-cuantifican-coste-corrupcion-espana-90000-millones-dinero-publico/20181207173008158212.html" TargetMode="External"/><Relationship Id="rId460" Type="http://schemas.openxmlformats.org/officeDocument/2006/relationships/hyperlink" Target="http://www.outono.net/elentir/2014/11/12/pablo-iglesias-reconoce-que-se-ha-dejado-usar-por-iran-para-desestabilizar-espana/?fbclid=IwAR1KGhv1byOs4wf5VdhWhG6SBGLVRmMrMjXEAz0rF8ErEG2JxfgRnqPdywM" TargetMode="External"/><Relationship Id="rId698" Type="http://schemas.openxmlformats.org/officeDocument/2006/relationships/hyperlink" Target="http://www.nuevarevolucion.es/" TargetMode="External"/><Relationship Id="rId919" Type="http://schemas.openxmlformats.org/officeDocument/2006/relationships/hyperlink" Target="http://page.is/larevuelo53" TargetMode="External"/><Relationship Id="rId1090" Type="http://schemas.openxmlformats.org/officeDocument/2006/relationships/hyperlink" Target="https://youtu.be/rQHHPwj8tEI" TargetMode="External"/><Relationship Id="rId1104" Type="http://schemas.openxmlformats.org/officeDocument/2006/relationships/hyperlink" Target="https://youtu.be/vhkVr7U0QgQ" TargetMode="External"/><Relationship Id="rId1311" Type="http://schemas.openxmlformats.org/officeDocument/2006/relationships/hyperlink" Target="https://pbs.twimg.com/media/Dt0bCMwWoAAXK7G.jpg" TargetMode="External"/><Relationship Id="rId1549" Type="http://schemas.openxmlformats.org/officeDocument/2006/relationships/hyperlink" Target="http://pic.twitter.com/h8QFQb9Zn1" TargetMode="External"/><Relationship Id="rId1756" Type="http://schemas.openxmlformats.org/officeDocument/2006/relationships/hyperlink" Target="http://www.diarioalcazar.com/2018/12/pablo-iglesias-podria-ser-juzgado-por.html?m=1&amp;fbclid=IwAR3KzBLGCTfMjGuZGtBOyhNGA9kvdi5UjlypyhXqN8f91YoF3c3pMeKRYuc" TargetMode="External"/><Relationship Id="rId1963" Type="http://schemas.openxmlformats.org/officeDocument/2006/relationships/hyperlink" Target="https://www.14ymedio.com/blogs/cajon_de_sastre/Carta-abierta-Pablo-Iglesias_7_2560013974.html" TargetMode="External"/><Relationship Id="rId2141" Type="http://schemas.openxmlformats.org/officeDocument/2006/relationships/hyperlink" Target="http://www.futbolaragones.com/web/ale-pref-actur-pablo-iglesias-montecarlo-0-0/?utm_campaign=shareaholic&amp;utm_medium=twitter&amp;utm_source=socialnetwork" TargetMode="External"/><Relationship Id="rId2379" Type="http://schemas.openxmlformats.org/officeDocument/2006/relationships/hyperlink" Target="https://okdiario.com/espana/2018/12/06/comunista-anguita-si-honrado-otros-son-unos-ladrones-votad-extrema-derecha-3431940" TargetMode="External"/><Relationship Id="rId48" Type="http://schemas.openxmlformats.org/officeDocument/2006/relationships/hyperlink" Target="http://ramblalibre.com/2018/12/08/carta-a-pablo-iglesias-eres-un-botarate-rancio-al-que-solo-votan-las-emporradas/" TargetMode="External"/><Relationship Id="rId113" Type="http://schemas.openxmlformats.org/officeDocument/2006/relationships/hyperlink" Target="http://www.bonavistacf.es/" TargetMode="External"/><Relationship Id="rId320" Type="http://schemas.openxmlformats.org/officeDocument/2006/relationships/hyperlink" Target="https://casoaislado.com/la-incitacion-al-odio-contra-vox-de-pablo-iglesias-deja-sus-primeras-victimas-dos-afiliados-son-agredidos-en-murcia/" TargetMode="External"/><Relationship Id="rId558" Type="http://schemas.openxmlformats.org/officeDocument/2006/relationships/hyperlink" Target="https://pbs.twimg.com/media/Dt4ZUUrX4AArqNO.jpg" TargetMode="External"/><Relationship Id="rId765" Type="http://schemas.openxmlformats.org/officeDocument/2006/relationships/hyperlink" Target="http://www.outono.net/elentir/2018/12/07/el-rey-llamo-a-pablo-iglesias-para-preocuparse-por-sus-hijos-y-asi-se-lo-ha-agradecido-iglesias/" TargetMode="External"/><Relationship Id="rId972" Type="http://schemas.openxmlformats.org/officeDocument/2006/relationships/hyperlink" Target="https://pbs.twimg.com/media/Dt11cY4XQAA2Z70.jpg" TargetMode="External"/><Relationship Id="rId1188" Type="http://schemas.openxmlformats.org/officeDocument/2006/relationships/hyperlink" Target="http://www.youtube.com/doomknight87" TargetMode="External"/><Relationship Id="rId1395" Type="http://schemas.openxmlformats.org/officeDocument/2006/relationships/hyperlink" Target="http://pic.twitter.com/Zw2IMFzV8Z" TargetMode="External"/><Relationship Id="rId1409" Type="http://schemas.openxmlformats.org/officeDocument/2006/relationships/hyperlink" Target="https://www.facebook.com/indaok/" TargetMode="External"/><Relationship Id="rId1616" Type="http://schemas.openxmlformats.org/officeDocument/2006/relationships/hyperlink" Target="https://gab.com/PalomaLibre" TargetMode="External"/><Relationship Id="rId1823" Type="http://schemas.openxmlformats.org/officeDocument/2006/relationships/hyperlink" Target="http://www.mugak.eu/" TargetMode="External"/><Relationship Id="rId2001" Type="http://schemas.openxmlformats.org/officeDocument/2006/relationships/hyperlink" Target="http://go.squidapp.co/n/Esu3ORq" TargetMode="External"/><Relationship Id="rId2239" Type="http://schemas.openxmlformats.org/officeDocument/2006/relationships/hyperlink" Target="https://culedeporalli.blogspot.com.es/" TargetMode="External"/><Relationship Id="rId2446" Type="http://schemas.openxmlformats.org/officeDocument/2006/relationships/hyperlink" Target="http://www.tlig.org/spmsg/spindex.php" TargetMode="External"/><Relationship Id="rId197" Type="http://schemas.openxmlformats.org/officeDocument/2006/relationships/hyperlink" Target="https://twitter.com/cristiancrespoj/status/1071201582988124161" TargetMode="External"/><Relationship Id="rId418" Type="http://schemas.openxmlformats.org/officeDocument/2006/relationships/hyperlink" Target="https://blogs.publico.es/dominiopublico/27340/carta-al-tipo-que-mando-una-carta-a-pablo-iglesias/" TargetMode="External"/><Relationship Id="rId625" Type="http://schemas.openxmlformats.org/officeDocument/2006/relationships/hyperlink" Target="http://facebook.com/luisenrique.jordantorrent" TargetMode="External"/><Relationship Id="rId832" Type="http://schemas.openxmlformats.org/officeDocument/2006/relationships/hyperlink" Target="https://youtu.be/hm-DNijFbYk" TargetMode="External"/><Relationship Id="rId1048" Type="http://schemas.openxmlformats.org/officeDocument/2006/relationships/hyperlink" Target="http://www.outono.net/elentir/2014/11/12/pablo-iglesias-reconoce-que-se-ha-dejado-usar-por-iran-para-desestabilizar-espana/" TargetMode="External"/><Relationship Id="rId1255" Type="http://schemas.openxmlformats.org/officeDocument/2006/relationships/hyperlink" Target="https://pbs.twimg.com/media/DtvL2BYW0AEy_rQ.jpg" TargetMode="External"/><Relationship Id="rId1462" Type="http://schemas.openxmlformats.org/officeDocument/2006/relationships/hyperlink" Target="https://twitter.com/TITORODRIGUEZZ/status/1070958906829086720" TargetMode="External"/><Relationship Id="rId2085" Type="http://schemas.openxmlformats.org/officeDocument/2006/relationships/hyperlink" Target="https://eltronodefroilan.wordpress.com/" TargetMode="External"/><Relationship Id="rId2292" Type="http://schemas.openxmlformats.org/officeDocument/2006/relationships/hyperlink" Target="https://pbs.twimg.com/media/Dtw2-VSW0AESvq7.jpg" TargetMode="External"/><Relationship Id="rId2306" Type="http://schemas.openxmlformats.org/officeDocument/2006/relationships/hyperlink" Target="http://www.bitmomentum.com/" TargetMode="External"/><Relationship Id="rId2513" Type="http://schemas.openxmlformats.org/officeDocument/2006/relationships/hyperlink" Target="http://ver.20m.es/lobqw3" TargetMode="External"/><Relationship Id="rId264" Type="http://schemas.openxmlformats.org/officeDocument/2006/relationships/hyperlink" Target="https://www.periodistadigital.com/ocio-y-cultura/gente/2018/12/08/bertin-osborne-hunde-miseria-pablo-iglesias-no-voto-muerto-borracho-vino.shtml" TargetMode="External"/><Relationship Id="rId471" Type="http://schemas.openxmlformats.org/officeDocument/2006/relationships/hyperlink" Target="https://elpais.com/elpais/2018/11/21/opinion/1542806031_921444.html?id_externo_rsoc=TW_CC" TargetMode="External"/><Relationship Id="rId1115" Type="http://schemas.openxmlformats.org/officeDocument/2006/relationships/hyperlink" Target="https://twitter.com/infiltradoxxx/status/1070783826413129729" TargetMode="External"/><Relationship Id="rId1322" Type="http://schemas.openxmlformats.org/officeDocument/2006/relationships/hyperlink" Target="http://ow.ly/tIJK30mDEqk" TargetMode="External"/><Relationship Id="rId1767" Type="http://schemas.openxmlformats.org/officeDocument/2006/relationships/hyperlink" Target="https://twitter.com/infiltradoxxx/status/1070783826413129729" TargetMode="External"/><Relationship Id="rId1974" Type="http://schemas.openxmlformats.org/officeDocument/2006/relationships/hyperlink" Target="https://www.esdiario.com/781025410/Pablo-Iglesias-se-desespera-al-quedarse-solo-en-su-caceria-al-Rey-Juan-Carlos.html" TargetMode="External"/><Relationship Id="rId2152" Type="http://schemas.openxmlformats.org/officeDocument/2006/relationships/hyperlink" Target="http://pic.twitter.com/wUKuS8oHy9" TargetMode="External"/><Relationship Id="rId59" Type="http://schemas.openxmlformats.org/officeDocument/2006/relationships/hyperlink" Target="https://pbs.twimg.com/media/Dt57bhOWkAEiEpZ.jpg" TargetMode="External"/><Relationship Id="rId124" Type="http://schemas.openxmlformats.org/officeDocument/2006/relationships/hyperlink" Target="https://blogs.publico.es/dominiopublico/27340/carta-al-tipo-que-mando-una-carta-a-pablo-iglesias/" TargetMode="External"/><Relationship Id="rId569" Type="http://schemas.openxmlformats.org/officeDocument/2006/relationships/hyperlink" Target="http://cesar.yusteprieto.es/" TargetMode="External"/><Relationship Id="rId776" Type="http://schemas.openxmlformats.org/officeDocument/2006/relationships/hyperlink" Target="http://bit.ly/2KXHrcO" TargetMode="External"/><Relationship Id="rId983" Type="http://schemas.openxmlformats.org/officeDocument/2006/relationships/hyperlink" Target="http://elmalodelosratpack.blogspot.com/" TargetMode="External"/><Relationship Id="rId1199" Type="http://schemas.openxmlformats.org/officeDocument/2006/relationships/hyperlink" Target="https://okdiario.com/espana/2018/12/07/video-del-pp-valenciano-que-responde-sectarismo-iglesias-constitucion-somos-todos-3439553?utm_campaign=ok&amp;utm_medium=Social&amp;utm_source=Twitter" TargetMode="External"/><Relationship Id="rId1627" Type="http://schemas.openxmlformats.org/officeDocument/2006/relationships/hyperlink" Target="https://pbs.twimg.com/media/Dtz2ZJ3XcAE7Q5A.jpg" TargetMode="External"/><Relationship Id="rId1834" Type="http://schemas.openxmlformats.org/officeDocument/2006/relationships/hyperlink" Target="http://pic.twitter.com/eeLeayDMFw" TargetMode="External"/><Relationship Id="rId2457" Type="http://schemas.openxmlformats.org/officeDocument/2006/relationships/hyperlink" Target="http://pic.twitter.com/WRTvZoe80Y" TargetMode="External"/><Relationship Id="rId331" Type="http://schemas.openxmlformats.org/officeDocument/2006/relationships/hyperlink" Target="https://blogs.publico.es/dominiopublico/27340/carta-al-tipo-que-mando-una-carta-a-pablo-iglesias/" TargetMode="External"/><Relationship Id="rId429" Type="http://schemas.openxmlformats.org/officeDocument/2006/relationships/hyperlink" Target="https://blogs.publico.es/dominiopublico/27340/carta-al-tipo-que-mando-una-carta-a-pablo-iglesias/" TargetMode="External"/><Relationship Id="rId636" Type="http://schemas.openxmlformats.org/officeDocument/2006/relationships/hyperlink" Target="http://pic.twitter.com/zqqbAcdDZO" TargetMode="External"/><Relationship Id="rId1059" Type="http://schemas.openxmlformats.org/officeDocument/2006/relationships/hyperlink" Target="https://pbs.twimg.com/media/Dtkuw5oXcAIO9xZ.jpg" TargetMode="External"/><Relationship Id="rId1266" Type="http://schemas.openxmlformats.org/officeDocument/2006/relationships/hyperlink" Target="https://contrainformacion.es/iu-y-el-pce-presentan-una-querella-contra-entre-otros-el-rey-emerito-porque-esta-monarquia-no-es-trigo-limpio-aunque-hoy-nos-den-lecciones-de-democracia/" TargetMode="External"/><Relationship Id="rId1473" Type="http://schemas.openxmlformats.org/officeDocument/2006/relationships/hyperlink" Target="http://pic.twitter.com/JNOIm4oxA8" TargetMode="External"/><Relationship Id="rId2012" Type="http://schemas.openxmlformats.org/officeDocument/2006/relationships/hyperlink" Target="http://a.msn.com/01/es-es/BBQzGwm?ocid=st" TargetMode="External"/><Relationship Id="rId2096" Type="http://schemas.openxmlformats.org/officeDocument/2006/relationships/hyperlink" Target="http://youtu.be/MUdK58VRVGA?a" TargetMode="External"/><Relationship Id="rId2317" Type="http://schemas.openxmlformats.org/officeDocument/2006/relationships/hyperlink" Target="https://pbs.twimg.com/media/Dtwzs2SW4AEomK9.jpg" TargetMode="External"/><Relationship Id="rId843" Type="http://schemas.openxmlformats.org/officeDocument/2006/relationships/hyperlink" Target="https://eldebate.es/" TargetMode="External"/><Relationship Id="rId1126" Type="http://schemas.openxmlformats.org/officeDocument/2006/relationships/hyperlink" Target="https://pbs.twimg.com/media/Dt1WteWX4AIbfRE.jpg" TargetMode="External"/><Relationship Id="rId1680" Type="http://schemas.openxmlformats.org/officeDocument/2006/relationships/hyperlink" Target="https://pbs.twimg.com/media/DtumWquWwAE07nM.jpg" TargetMode="External"/><Relationship Id="rId1778" Type="http://schemas.openxmlformats.org/officeDocument/2006/relationships/hyperlink" Target="https://verne.elpais.com/verne/2018/04/23/articulo/1524495712_968428.html" TargetMode="External"/><Relationship Id="rId1901" Type="http://schemas.openxmlformats.org/officeDocument/2006/relationships/hyperlink" Target="http://youtu.be/ICi8x1lwVD4?a" TargetMode="External"/><Relationship Id="rId1985" Type="http://schemas.openxmlformats.org/officeDocument/2006/relationships/hyperlink" Target="https://youtu.be/W3c-zUIsyss" TargetMode="External"/><Relationship Id="rId2524" Type="http://schemas.openxmlformats.org/officeDocument/2006/relationships/hyperlink" Target="http://pic.twitter.com/uUCBxpufvv" TargetMode="External"/><Relationship Id="rId275" Type="http://schemas.openxmlformats.org/officeDocument/2006/relationships/hyperlink" Target="http://chng.it/sYZyvhRy" TargetMode="External"/><Relationship Id="rId482" Type="http://schemas.openxmlformats.org/officeDocument/2006/relationships/hyperlink" Target="https://www.change.org/p/ministerio-de-justicia-pena-de-prisi%C3%B3n-de-1-a-4-a%C3%B1os-para-pablo-iglesias-por-delito-de-odio?recruiter=915288561&amp;utm_source=share_petition&amp;utm_medium=twitter&amp;utm_campaign=share_petition" TargetMode="External"/><Relationship Id="rId703" Type="http://schemas.openxmlformats.org/officeDocument/2006/relationships/hyperlink" Target="https://www.sevillainfo.es/noticias-de-andalucia/nace-un-fascista-la-carta-abierta-a-pablo-iglesias-que-se-hace-viral-tras-las-elecciones-andaluzas/" TargetMode="External"/><Relationship Id="rId910" Type="http://schemas.openxmlformats.org/officeDocument/2006/relationships/hyperlink" Target="https://twitter.com/rouco64/status/1071032276908150784" TargetMode="External"/><Relationship Id="rId1333" Type="http://schemas.openxmlformats.org/officeDocument/2006/relationships/hyperlink" Target="https://okdiario.com/espana/2018/12/05/foros-militancia-podemos-arden-contra-iglesias-pablo-callate-haz-autocritica-3427399/amp" TargetMode="External"/><Relationship Id="rId1540" Type="http://schemas.openxmlformats.org/officeDocument/2006/relationships/hyperlink" Target="https://www.periodistadigital.com/periodismo/prensa/2018/12/07/payasada-casposa-podemos-cuelan-logo-republica-marca-champu-wella-balsam-pablo-iglesias.shtml" TargetMode="External"/><Relationship Id="rId1638" Type="http://schemas.openxmlformats.org/officeDocument/2006/relationships/hyperlink" Target="http://ranchosanysidro.wordpress.com/" TargetMode="External"/><Relationship Id="rId2163" Type="http://schemas.openxmlformats.org/officeDocument/2006/relationships/hyperlink" Target="https://digitalsevilla.com/2018/12/05/eduardo-inda-acusa-a-pablo-iglesias-de-querer-que-me-partan-la-cara-por-la-calle/" TargetMode="External"/><Relationship Id="rId2370" Type="http://schemas.openxmlformats.org/officeDocument/2006/relationships/hyperlink" Target="https://pbs.twimg.com/media/DtwuSbMUcAA1jZY.jpg" TargetMode="External"/><Relationship Id="rId135" Type="http://schemas.openxmlformats.org/officeDocument/2006/relationships/hyperlink" Target="https://www.periodistadigital.com/opinion/cartas-al-director/2018/12/08/carta-abierta-de-santiago-abascal-a-pablo-iglesias-lo-tienes-crudo.shtml" TargetMode="External"/><Relationship Id="rId342" Type="http://schemas.openxmlformats.org/officeDocument/2006/relationships/hyperlink" Target="https://www.elmundo.es/baleares/2018/12/07/5c0a31e8fc6c83ee428b45c5.html" TargetMode="External"/><Relationship Id="rId787" Type="http://schemas.openxmlformats.org/officeDocument/2006/relationships/hyperlink" Target="https://pbs.twimg.com/media/Dt2f2GGWoAEZfN3.jpg" TargetMode="External"/><Relationship Id="rId994" Type="http://schemas.openxmlformats.org/officeDocument/2006/relationships/hyperlink" Target="http://flip.it/lR3PhU" TargetMode="External"/><Relationship Id="rId1400" Type="http://schemas.openxmlformats.org/officeDocument/2006/relationships/hyperlink" Target="https://twitter.com/hispanovisigoda/status/1070637285853540352" TargetMode="External"/><Relationship Id="rId1845" Type="http://schemas.openxmlformats.org/officeDocument/2006/relationships/hyperlink" Target="http://j.mp/2RC6rsL" TargetMode="External"/><Relationship Id="rId2023" Type="http://schemas.openxmlformats.org/officeDocument/2006/relationships/hyperlink" Target="https://okdiario.com/espana/2018/12/05/foros-militancia-podemos-arden-contra-iglesias-pablo-callate-haz-autocritica-3427399" TargetMode="External"/><Relationship Id="rId2230" Type="http://schemas.openxmlformats.org/officeDocument/2006/relationships/hyperlink" Target="https://twitter.com/marubimo/status/1070780218594508800" TargetMode="External"/><Relationship Id="rId2468" Type="http://schemas.openxmlformats.org/officeDocument/2006/relationships/hyperlink" Target="https://okdiario.com/espana/2018/12/06/podemos-usa-como-logo-republica-imagen-disenada-peluquerias-3436295?utm_campaign=ok&amp;utm_medium=Social&amp;utm_source=Facebook" TargetMode="External"/><Relationship Id="rId202" Type="http://schemas.openxmlformats.org/officeDocument/2006/relationships/hyperlink" Target="http://www.ramblalibre.com/" TargetMode="External"/><Relationship Id="rId647" Type="http://schemas.openxmlformats.org/officeDocument/2006/relationships/hyperlink" Target="http://trendinalia.com/twitter-trending-topics/spain/" TargetMode="External"/><Relationship Id="rId854" Type="http://schemas.openxmlformats.org/officeDocument/2006/relationships/hyperlink" Target="http://pic.twitter.com/UNKoUUTqsz" TargetMode="External"/><Relationship Id="rId1277" Type="http://schemas.openxmlformats.org/officeDocument/2006/relationships/hyperlink" Target="https://youtu.be/12Qr1C18reM" TargetMode="External"/><Relationship Id="rId1484" Type="http://schemas.openxmlformats.org/officeDocument/2006/relationships/hyperlink" Target="https://okdiario.com/espana/2018/12/07/iglesias-da-razon-abascal-derecho-portar-armas-bases-democracia-3438627?utm_campaign=ok&amp;utm_medium=Social&amp;utm_source=Twitter" TargetMode="External"/><Relationship Id="rId1691" Type="http://schemas.openxmlformats.org/officeDocument/2006/relationships/hyperlink" Target="http://www.outono.net/elentir/2014/11/12/pablo-iglesias-reconoce-que-se-ha-dejado-usar-por-iran-para-desestabilizar-espana/" TargetMode="External"/><Relationship Id="rId1705" Type="http://schemas.openxmlformats.org/officeDocument/2006/relationships/hyperlink" Target="https://pamplonaactual.com/el-colectivo-de-madres-envia-una-carta-a-pablo-iglesias-y-alberto-garzon-para-informarles-de-la-situacion-de-desigualdad-de-las-familias-navarras/" TargetMode="External"/><Relationship Id="rId1912" Type="http://schemas.openxmlformats.org/officeDocument/2006/relationships/hyperlink" Target="http://t.me/ahoracantabria" TargetMode="External"/><Relationship Id="rId2328" Type="http://schemas.openxmlformats.org/officeDocument/2006/relationships/hyperlink" Target="http://pic.twitter.com/7qGfLQgXnT" TargetMode="External"/><Relationship Id="rId2535" Type="http://schemas.openxmlformats.org/officeDocument/2006/relationships/hyperlink" Target="http://youtu.be/yc04ztdwTNo?a" TargetMode="External"/><Relationship Id="rId286" Type="http://schemas.openxmlformats.org/officeDocument/2006/relationships/hyperlink" Target="https://m.publico.es/columnas/110597571549/dominio-publico-carta-al-tipo-que-mando-una-carta-a-pablo-iglesias" TargetMode="External"/><Relationship Id="rId493" Type="http://schemas.openxmlformats.org/officeDocument/2006/relationships/hyperlink" Target="http://www.malostratosfalsos.com/" TargetMode="External"/><Relationship Id="rId507" Type="http://schemas.openxmlformats.org/officeDocument/2006/relationships/hyperlink" Target="https://www.elmatinal.com/actualidad/piden-la-detencion-de-pablo-iglesias-por-ser-el-promotor-de-las-violentas-manifestaciones-contra-vox-en-andalucia/" TargetMode="External"/><Relationship Id="rId714" Type="http://schemas.openxmlformats.org/officeDocument/2006/relationships/hyperlink" Target="https://www.facebook.com/pages/Espa%C3%B1oles-y-Venezolanos-Anti-Podemos/885396501484393?sk=timeline" TargetMode="External"/><Relationship Id="rId921" Type="http://schemas.openxmlformats.org/officeDocument/2006/relationships/hyperlink" Target="http://youtu.be/hm-DNijFbYk?a" TargetMode="External"/><Relationship Id="rId1137" Type="http://schemas.openxmlformats.org/officeDocument/2006/relationships/hyperlink" Target="https://pbs.twimg.com/media/Dtkuw5oXcAIO9xZ.jpg" TargetMode="External"/><Relationship Id="rId1344" Type="http://schemas.openxmlformats.org/officeDocument/2006/relationships/hyperlink" Target="http://bit.ly/2QgJKxK" TargetMode="External"/><Relationship Id="rId1551" Type="http://schemas.openxmlformats.org/officeDocument/2006/relationships/hyperlink" Target="https://www.esdiario.com/781025410/Pablo-Iglesias-se-desespera-al-quedarse-solo-en-su-caceria-al-Rey-Juan-Carlos.html" TargetMode="External"/><Relationship Id="rId1789" Type="http://schemas.openxmlformats.org/officeDocument/2006/relationships/hyperlink" Target="https://www.elsebas.net/pablo-iglesias-la-mejor-vacuna-para-no-volver-al-pasado-es-una-republica-feminista/" TargetMode="External"/><Relationship Id="rId1996" Type="http://schemas.openxmlformats.org/officeDocument/2006/relationships/hyperlink" Target="https://pbs.twimg.com/media/Dtkuw5oXcAIO9xZ.jpg" TargetMode="External"/><Relationship Id="rId2174" Type="http://schemas.openxmlformats.org/officeDocument/2006/relationships/hyperlink" Target="https://youtu.be/12Qr1C18reM" TargetMode="External"/><Relationship Id="rId2381" Type="http://schemas.openxmlformats.org/officeDocument/2006/relationships/hyperlink" Target="http://derecho-filosofia.blogspot.com/" TargetMode="External"/><Relationship Id="rId50" Type="http://schemas.openxmlformats.org/officeDocument/2006/relationships/hyperlink" Target="https://pbs.twimg.com/media/Dt58VX_U4AEJrJ0.jpg" TargetMode="External"/><Relationship Id="rId146" Type="http://schemas.openxmlformats.org/officeDocument/2006/relationships/hyperlink" Target="http://ramblalibre.com/2018/12/08/carta-a-pablo-iglesias-eres-un-botarate-rancio-al-que-solo-votan-las-emporradas/" TargetMode="External"/><Relationship Id="rId353" Type="http://schemas.openxmlformats.org/officeDocument/2006/relationships/hyperlink" Target="http://www.torresburriel.com/" TargetMode="External"/><Relationship Id="rId560" Type="http://schemas.openxmlformats.org/officeDocument/2006/relationships/hyperlink" Target="https://blogs.publico.es/dominiopublico/27340/carta-al-tipo-que-mando-una-carta-a-pablo-iglesias/" TargetMode="External"/><Relationship Id="rId798" Type="http://schemas.openxmlformats.org/officeDocument/2006/relationships/hyperlink" Target="http://chng.it/dRq7cXf7" TargetMode="External"/><Relationship Id="rId1190" Type="http://schemas.openxmlformats.org/officeDocument/2006/relationships/hyperlink" Target="http://elregresodejuandemairena.blogspot.com.es/" TargetMode="External"/><Relationship Id="rId1204" Type="http://schemas.openxmlformats.org/officeDocument/2006/relationships/hyperlink" Target="http://chng.it/FXmjwkKy" TargetMode="External"/><Relationship Id="rId1411" Type="http://schemas.openxmlformats.org/officeDocument/2006/relationships/hyperlink" Target="http://youtu.be/ICizhVOw45Y?a" TargetMode="External"/><Relationship Id="rId1649" Type="http://schemas.openxmlformats.org/officeDocument/2006/relationships/hyperlink" Target="https://www.instagram.com/mariaespinosallave/" TargetMode="External"/><Relationship Id="rId1856" Type="http://schemas.openxmlformats.org/officeDocument/2006/relationships/hyperlink" Target="http://gaab75.blogspot.com/" TargetMode="External"/><Relationship Id="rId2034" Type="http://schemas.openxmlformats.org/officeDocument/2006/relationships/hyperlink" Target="https://pbs.twimg.com/media/Dtxn9AZWkAAxBpa.jpg" TargetMode="External"/><Relationship Id="rId2241" Type="http://schemas.openxmlformats.org/officeDocument/2006/relationships/hyperlink" Target="http://noticiasvenezuela.org/" TargetMode="External"/><Relationship Id="rId2479" Type="http://schemas.openxmlformats.org/officeDocument/2006/relationships/hyperlink" Target="https://pbs.twimg.com/media/DtugEMxWwAU8h7X.jpg" TargetMode="External"/><Relationship Id="rId213" Type="http://schemas.openxmlformats.org/officeDocument/2006/relationships/hyperlink" Target="https://goo.gl/dVfLX3?ewp96=5175589941" TargetMode="External"/><Relationship Id="rId420" Type="http://schemas.openxmlformats.org/officeDocument/2006/relationships/hyperlink" Target="https://okdiario.com/espana/2018/12/05/foros-militancia-podemos-arden-contra-iglesias-pablo-callate-haz-autocritica-3427399" TargetMode="External"/><Relationship Id="rId658" Type="http://schemas.openxmlformats.org/officeDocument/2006/relationships/hyperlink" Target="https://contrainformacion.es/iu-y-el-pce-presentan-una-querella-contra-entre-otros-el-rey-emerito-porque-esta-monarquia-no-es-trigo-limpio-aunque-hoy-nos-den-lecciones-de-democracia/" TargetMode="External"/><Relationship Id="rId865" Type="http://schemas.openxmlformats.org/officeDocument/2006/relationships/hyperlink" Target="https://pbs.twimg.com/media/DtwB-hwXcAAuCul.jpg" TargetMode="External"/><Relationship Id="rId1050" Type="http://schemas.openxmlformats.org/officeDocument/2006/relationships/hyperlink" Target="http://vidasancheski.wordpress.com/" TargetMode="External"/><Relationship Id="rId1288" Type="http://schemas.openxmlformats.org/officeDocument/2006/relationships/hyperlink" Target="https://go.shr.lc/2Qm8YLe" TargetMode="External"/><Relationship Id="rId1495" Type="http://schemas.openxmlformats.org/officeDocument/2006/relationships/hyperlink" Target="https://madrid.podemos.info/" TargetMode="External"/><Relationship Id="rId1509" Type="http://schemas.openxmlformats.org/officeDocument/2006/relationships/hyperlink" Target="https://www.instagram.com/ddgonz_/?hl=es%27" TargetMode="External"/><Relationship Id="rId1716" Type="http://schemas.openxmlformats.org/officeDocument/2006/relationships/hyperlink" Target="https://www.facebook.com/1047940968/posts/10216479912644174/" TargetMode="External"/><Relationship Id="rId1923" Type="http://schemas.openxmlformats.org/officeDocument/2006/relationships/hyperlink" Target="https://www.eldiario.es/_32458238" TargetMode="External"/><Relationship Id="rId2101" Type="http://schemas.openxmlformats.org/officeDocument/2006/relationships/hyperlink" Target="https://pbs.twimg.com/media/DtkdKzPXQAIvBVy.jpg" TargetMode="External"/><Relationship Id="rId2339" Type="http://schemas.openxmlformats.org/officeDocument/2006/relationships/hyperlink" Target="https://okdiario.com/opinion/2018/12/06/animo-pablo-dificil-hacerlo-peor-3437339?utm_campaign=ok&amp;utm_medium=Social&amp;utm_source=Twitter" TargetMode="External"/><Relationship Id="rId2546" Type="http://schemas.openxmlformats.org/officeDocument/2006/relationships/hyperlink" Target="https://pbs.twimg.com/media/DtwZBkLW4AA8dPX.jpg" TargetMode="External"/><Relationship Id="rId297" Type="http://schemas.openxmlformats.org/officeDocument/2006/relationships/hyperlink" Target="https://www.abc.es/internacional/abci-maduro-ofrece-pernil-y-tres-euros-voten-elecciones-municipales-domingo-201812070313_noticia.html" TargetMode="External"/><Relationship Id="rId518" Type="http://schemas.openxmlformats.org/officeDocument/2006/relationships/hyperlink" Target="https://www.larazon.es/espana/el-dia-que-julio-anguita-pidio-el-voto-para-la-extrema-derecha-IP20859010" TargetMode="External"/><Relationship Id="rId725" Type="http://schemas.openxmlformats.org/officeDocument/2006/relationships/hyperlink" Target="https://ift.tt/2B3cxeq" TargetMode="External"/><Relationship Id="rId932" Type="http://schemas.openxmlformats.org/officeDocument/2006/relationships/hyperlink" Target="http://va.newsrepublic.net/s/ZTybMY" TargetMode="External"/><Relationship Id="rId1148" Type="http://schemas.openxmlformats.org/officeDocument/2006/relationships/hyperlink" Target="http://podemos.info/" TargetMode="External"/><Relationship Id="rId1355" Type="http://schemas.openxmlformats.org/officeDocument/2006/relationships/hyperlink" Target="https://www.lasexta.com/noticias/nacional/pablo-iglesias-reivindica-la-republica-y-garzon-se-querella-contra-juan-carlos-i-el-dia-en-el-que-regresaba-al-congreso-video_201812065c0935a90cf2d96fe2fae9d9.html" TargetMode="External"/><Relationship Id="rId1562" Type="http://schemas.openxmlformats.org/officeDocument/2006/relationships/hyperlink" Target="https://pbs.twimg.com/media/DttdM7EXgAAG3yf.jpg" TargetMode="External"/><Relationship Id="rId2185" Type="http://schemas.openxmlformats.org/officeDocument/2006/relationships/hyperlink" Target="https://twitter.com/Gata1_C/status/1070791263534878727" TargetMode="External"/><Relationship Id="rId2392" Type="http://schemas.openxmlformats.org/officeDocument/2006/relationships/hyperlink" Target="https://twitter.com/ldpsincomplejos/status/1070646760383676418" TargetMode="External"/><Relationship Id="rId2406" Type="http://schemas.openxmlformats.org/officeDocument/2006/relationships/hyperlink" Target="http://cuartopoder.es/" TargetMode="External"/><Relationship Id="rId157" Type="http://schemas.openxmlformats.org/officeDocument/2006/relationships/hyperlink" Target="https://www.youtube.com/channel/UC63sklogN-TIpHg606aJJMw" TargetMode="External"/><Relationship Id="rId364" Type="http://schemas.openxmlformats.org/officeDocument/2006/relationships/hyperlink" Target="http://www.ite4.es/" TargetMode="External"/><Relationship Id="rId1008" Type="http://schemas.openxmlformats.org/officeDocument/2006/relationships/hyperlink" Target="https://twitter.com/alwaysfree86/status/1070299080906211329" TargetMode="External"/><Relationship Id="rId1215" Type="http://schemas.openxmlformats.org/officeDocument/2006/relationships/hyperlink" Target="http://ww.cope.es/sqn9b4" TargetMode="External"/><Relationship Id="rId1422" Type="http://schemas.openxmlformats.org/officeDocument/2006/relationships/hyperlink" Target="https://twitter.com/circulorojo899/status/1071038888272121856" TargetMode="External"/><Relationship Id="rId1867" Type="http://schemas.openxmlformats.org/officeDocument/2006/relationships/hyperlink" Target="https://www.elindependiente.com/politica/2018/12/07/los-lideres-del-proces-exigen-bloque-al-supremo-juicio-sea-cataluna/?utm_source=share_buttons&amp;utm_medium=twitter&amp;utm_campaign=social_share" TargetMode="External"/><Relationship Id="rId2045" Type="http://schemas.openxmlformats.org/officeDocument/2006/relationships/hyperlink" Target="http://orihuela.ciudadanos-cs.org/" TargetMode="External"/><Relationship Id="rId61" Type="http://schemas.openxmlformats.org/officeDocument/2006/relationships/hyperlink" Target="https://www.marca.com/tiramillas/actualidad/2018/12/08/5c0bb52022601dd0208b465d.html" TargetMode="External"/><Relationship Id="rId571" Type="http://schemas.openxmlformats.org/officeDocument/2006/relationships/hyperlink" Target="https://blogs.publico.es/dominiopublico/27340/carta-al-tipo-que-mando-una-carta-a-pablo-iglesias/" TargetMode="External"/><Relationship Id="rId669" Type="http://schemas.openxmlformats.org/officeDocument/2006/relationships/hyperlink" Target="http://www.elclubdelosviernes.org/" TargetMode="External"/><Relationship Id="rId876" Type="http://schemas.openxmlformats.org/officeDocument/2006/relationships/hyperlink" Target="https://pbs.twimg.com/media/Dt15Z8VX4AAGgBN.jpg" TargetMode="External"/><Relationship Id="rId1299" Type="http://schemas.openxmlformats.org/officeDocument/2006/relationships/hyperlink" Target="http://youtu.be/czilj5GA9ic?a" TargetMode="External"/><Relationship Id="rId1727" Type="http://schemas.openxmlformats.org/officeDocument/2006/relationships/hyperlink" Target="http://pic.twitter.com/gPdFkSV4zG" TargetMode="External"/><Relationship Id="rId1934" Type="http://schemas.openxmlformats.org/officeDocument/2006/relationships/hyperlink" Target="http://www.ondacero.es/masdeuno/" TargetMode="External"/><Relationship Id="rId2252" Type="http://schemas.openxmlformats.org/officeDocument/2006/relationships/hyperlink" Target="https://www.eldiario.es/_32458238" TargetMode="External"/><Relationship Id="rId2557" Type="http://schemas.openxmlformats.org/officeDocument/2006/relationships/hyperlink" Target="https://twitter.com/arturelpayaso2/status/1070703901127651329" TargetMode="External"/><Relationship Id="rId19" Type="http://schemas.openxmlformats.org/officeDocument/2006/relationships/hyperlink" Target="http://www.lanuevaandalucia.com/opinion/la-cutrez-de-pablo-m-iglesias/" TargetMode="External"/><Relationship Id="rId224" Type="http://schemas.openxmlformats.org/officeDocument/2006/relationships/hyperlink" Target="https://blogs.publico.es/dominiopublico/27340/carta-al-tipo-que-mando-una-carta-a-pablo-iglesias/" TargetMode="External"/><Relationship Id="rId431" Type="http://schemas.openxmlformats.org/officeDocument/2006/relationships/hyperlink" Target="https://casoaislado.com/abascal-vapulea-pablo-iglesias-la-monarquia-sirve-alguien-devorado-odio-no-alcance-la-jefatura-del-estado/" TargetMode="External"/><Relationship Id="rId529" Type="http://schemas.openxmlformats.org/officeDocument/2006/relationships/hyperlink" Target="https://twitter.com/CervantesFAQs/status/1071142892469710848" TargetMode="External"/><Relationship Id="rId736" Type="http://schemas.openxmlformats.org/officeDocument/2006/relationships/hyperlink" Target="https://pbs.twimg.com/media/Dt28_KGWsAAQffE.jpg" TargetMode="External"/><Relationship Id="rId1061" Type="http://schemas.openxmlformats.org/officeDocument/2006/relationships/hyperlink" Target="https://www.publico.es/publico-tv/otra-vuelta-de-tuerka/programa/728502/otra-vuelta-de-tuerka-tristan-ulloa?utm_source=twitter&amp;utm_medium=social&amp;utm_campaign=publico" TargetMode="External"/><Relationship Id="rId1159" Type="http://schemas.openxmlformats.org/officeDocument/2006/relationships/hyperlink" Target="https://www.huffingtonpost.es/2018/12/07/el-dardo-de-bertin-osborne-a-gabriel-rufian-y-pablo-iglesias-espana-es-el-pais-con-mas-politicos-idiotas-por-metro-cuadrado_a_23611885/" TargetMode="External"/><Relationship Id="rId1366" Type="http://schemas.openxmlformats.org/officeDocument/2006/relationships/hyperlink" Target="https://twitter.com/miguelruizojed1/status/1071050654817415168" TargetMode="External"/><Relationship Id="rId2112" Type="http://schemas.openxmlformats.org/officeDocument/2006/relationships/hyperlink" Target="http://www.diarioalcazar.com/2018/12/pablo-iglesias-podria-ser-juzgado-por.html?m=1" TargetMode="External"/><Relationship Id="rId2196" Type="http://schemas.openxmlformats.org/officeDocument/2006/relationships/hyperlink" Target="https://www.megustaleer.com/libro/ordesa/ES0155130" TargetMode="External"/><Relationship Id="rId2417" Type="http://schemas.openxmlformats.org/officeDocument/2006/relationships/hyperlink" Target="https://twitter.com/petrogustavo/status/1070748700681662471" TargetMode="External"/><Relationship Id="rId168" Type="http://schemas.openxmlformats.org/officeDocument/2006/relationships/hyperlink" Target="https://www.change.org/p/ministerio-de-justicia-pena-de-prisi%C3%B3n-de-1-a-4-a%C3%B1os-para-pablo-iglesias-por-delito-de-odio?recruiter=883642584&amp;utm_source=share_petition&amp;utm_medium=twitter&amp;utm_campaign=psf_combo_share_initial.pacific_email_copy_en_gb_4.v1.pacific_email_copy_en_us_3.control.pacific_email_copy_en_us_5.v1.pacific_post_sap_share_gmail_abi.control.lightning_2primary_share_options_more.variant&amp;utm_term=psf_combo_share_abi.pacific_email_copy_en_us_3.control.pacific_email_copy_en_gb_4.v1.pacific_email_copy_en_us_5.v1.pacific_post_sap_share_gmail_abi.control.lightning_2primary_share_options_more.control" TargetMode="External"/><Relationship Id="rId943" Type="http://schemas.openxmlformats.org/officeDocument/2006/relationships/hyperlink" Target="http://www.antena3.com/noticias/" TargetMode="External"/><Relationship Id="rId1019" Type="http://schemas.openxmlformats.org/officeDocument/2006/relationships/hyperlink" Target="http://eleanor-viviendo.blogspot.com/" TargetMode="External"/><Relationship Id="rId1573" Type="http://schemas.openxmlformats.org/officeDocument/2006/relationships/hyperlink" Target="https://pbs.twimg.com/media/Dtz-6u6W4AEdUgH.jpg" TargetMode="External"/><Relationship Id="rId1780" Type="http://schemas.openxmlformats.org/officeDocument/2006/relationships/hyperlink" Target="https://desatascos.org.es/pablo-iglesias-la-mejor-vacuna-para-no-volver-al-pasado-es-una-republica-feminista/" TargetMode="External"/><Relationship Id="rId1878" Type="http://schemas.openxmlformats.org/officeDocument/2006/relationships/hyperlink" Target="https://m.eldiario.es/32458238_843416120/" TargetMode="External"/><Relationship Id="rId72" Type="http://schemas.openxmlformats.org/officeDocument/2006/relationships/hyperlink" Target="https://www.libertaddigital.com/espana/2018-12-07/vox-denuncia-una-agresion-a-dos-de-sus-afiliados-en-lorca-murcia-1276629559/" TargetMode="External"/><Relationship Id="rId375" Type="http://schemas.openxmlformats.org/officeDocument/2006/relationships/hyperlink" Target="https://www.elmundo.es/loc/famosos/2018/12/08/5c0a3ffffc6c8320198b45e5.html" TargetMode="External"/><Relationship Id="rId582" Type="http://schemas.openxmlformats.org/officeDocument/2006/relationships/hyperlink" Target="http://www.lasvocesdelpueblo.com/" TargetMode="External"/><Relationship Id="rId803" Type="http://schemas.openxmlformats.org/officeDocument/2006/relationships/hyperlink" Target="https://es.wikipedia.org/wiki/Sienra" TargetMode="External"/><Relationship Id="rId1226" Type="http://schemas.openxmlformats.org/officeDocument/2006/relationships/hyperlink" Target="https://youtu.be/gjuLta58Png" TargetMode="External"/><Relationship Id="rId1433" Type="http://schemas.openxmlformats.org/officeDocument/2006/relationships/hyperlink" Target="http://fascistas.cat/" TargetMode="External"/><Relationship Id="rId1640" Type="http://schemas.openxmlformats.org/officeDocument/2006/relationships/hyperlink" Target="https://pbs.twimg.com/media/DtwySN0WsAEXWz6.jpg" TargetMode="External"/><Relationship Id="rId1738" Type="http://schemas.openxmlformats.org/officeDocument/2006/relationships/hyperlink" Target="https://valencianoticias.com/de-lenin-a-pablo-iglesias/" TargetMode="External"/><Relationship Id="rId2056" Type="http://schemas.openxmlformats.org/officeDocument/2006/relationships/hyperlink" Target="https://pbs.twimg.com/media/DtxeDp4WoAAouam.jpg" TargetMode="External"/><Relationship Id="rId2263" Type="http://schemas.openxmlformats.org/officeDocument/2006/relationships/hyperlink" Target="http://www.voxespana.es/" TargetMode="External"/><Relationship Id="rId2470" Type="http://schemas.openxmlformats.org/officeDocument/2006/relationships/hyperlink" Target="https://pbs.twimg.com/media/Dtq8M2DXgAEh9wE.jpg" TargetMode="External"/><Relationship Id="rId3" Type="http://schemas.openxmlformats.org/officeDocument/2006/relationships/hyperlink" Target="https://custodiapaterna.blogspot.com/2018/12/el-pablo-iglesias-que-hubiera-azotado.html?m=1" TargetMode="External"/><Relationship Id="rId235" Type="http://schemas.openxmlformats.org/officeDocument/2006/relationships/hyperlink" Target="https://www.elmundo.es/loc/famosos/2018/12/08/5c0a3ffffc6c8320198b45e5.html" TargetMode="External"/><Relationship Id="rId442" Type="http://schemas.openxmlformats.org/officeDocument/2006/relationships/hyperlink" Target="https://youtu.be/3eLKQ-zSPsk" TargetMode="External"/><Relationship Id="rId887" Type="http://schemas.openxmlformats.org/officeDocument/2006/relationships/hyperlink" Target="https://twitter.com/Nanchinho/status/1070800587527282689" TargetMode="External"/><Relationship Id="rId1072" Type="http://schemas.openxmlformats.org/officeDocument/2006/relationships/hyperlink" Target="http://facebook.com/f.diazfran" TargetMode="External"/><Relationship Id="rId1500" Type="http://schemas.openxmlformats.org/officeDocument/2006/relationships/hyperlink" Target="https://okdiario.com/espana/2018/12/05/ciudadano-cake-toma-vox-antiguo-barrio-pablo-iglesias-3430388" TargetMode="External"/><Relationship Id="rId1945" Type="http://schemas.openxmlformats.org/officeDocument/2006/relationships/hyperlink" Target="http://www.periodistadigital.com/periodismo/prensa/2018/12/07/payasada-casposa-podemos-cuelan-logo-republica-marca-champu-wella-balsam-pablo-iglesias.shtml" TargetMode="External"/><Relationship Id="rId2123" Type="http://schemas.openxmlformats.org/officeDocument/2006/relationships/hyperlink" Target="https://www.facebook.com/podemossarria/videos/2186566368283559/" TargetMode="External"/><Relationship Id="rId2330" Type="http://schemas.openxmlformats.org/officeDocument/2006/relationships/hyperlink" Target="https://twitter.com/perdiguerosipep/status/1070700361797812224" TargetMode="External"/><Relationship Id="rId2568" Type="http://schemas.openxmlformats.org/officeDocument/2006/relationships/hyperlink" Target="https://okdiario.com/espana/2018/12/06/pablo-iglesias-reivindica-republica-como-solucion-problemas-espana-3435080/amp" TargetMode="External"/><Relationship Id="rId302" Type="http://schemas.openxmlformats.org/officeDocument/2006/relationships/hyperlink" Target="https://casoaislado.com/miles-de-espanoles-firman-para-que-pablo-iglesias-sea-condenado-a-prision-por-delito-de-odio-contra-vox/" TargetMode="External"/><Relationship Id="rId747" Type="http://schemas.openxmlformats.org/officeDocument/2006/relationships/hyperlink" Target="https://pbs.twimg.com/media/Dt2y_PfWoAExsHI.jpg" TargetMode="External"/><Relationship Id="rId954" Type="http://schemas.openxmlformats.org/officeDocument/2006/relationships/hyperlink" Target="http://pic.twitter.com/j1UqiWR0Lk" TargetMode="External"/><Relationship Id="rId1377" Type="http://schemas.openxmlformats.org/officeDocument/2006/relationships/hyperlink" Target="https://twitter.com/ldpsincomplejos/status/1070743671836958721" TargetMode="External"/><Relationship Id="rId1584" Type="http://schemas.openxmlformats.org/officeDocument/2006/relationships/hyperlink" Target="https://plus.google.com/101097701906649811564" TargetMode="External"/><Relationship Id="rId1791" Type="http://schemas.openxmlformats.org/officeDocument/2006/relationships/hyperlink" Target="http://www.elsebas.net/" TargetMode="External"/><Relationship Id="rId1805" Type="http://schemas.openxmlformats.org/officeDocument/2006/relationships/hyperlink" Target="https://pbs.twimg.com/media/DtumWquWwAE07nM.jpg" TargetMode="External"/><Relationship Id="rId2428" Type="http://schemas.openxmlformats.org/officeDocument/2006/relationships/hyperlink" Target="https://www.eldiario.es/politica/Pablo-Iglesias-contrapone-republicanismo-feminista_0_843416120.html" TargetMode="External"/><Relationship Id="rId83" Type="http://schemas.openxmlformats.org/officeDocument/2006/relationships/hyperlink" Target="https://www.facebook.com/carlosaalonsob/videos/1846553278777047/" TargetMode="External"/><Relationship Id="rId179" Type="http://schemas.openxmlformats.org/officeDocument/2006/relationships/hyperlink" Target="http://pic.twitter.com/c77Ng4N0u5" TargetMode="External"/><Relationship Id="rId386" Type="http://schemas.openxmlformats.org/officeDocument/2006/relationships/hyperlink" Target="https://twitter.com/CiudadanosCs/status/1071108876370616322" TargetMode="External"/><Relationship Id="rId593" Type="http://schemas.openxmlformats.org/officeDocument/2006/relationships/hyperlink" Target="http://chng.it/sMVqTtjk" TargetMode="External"/><Relationship Id="rId607" Type="http://schemas.openxmlformats.org/officeDocument/2006/relationships/hyperlink" Target="http://www.hispanidad.com/" TargetMode="External"/><Relationship Id="rId814" Type="http://schemas.openxmlformats.org/officeDocument/2006/relationships/hyperlink" Target="http://www.mcpol.es/" TargetMode="External"/><Relationship Id="rId1237" Type="http://schemas.openxmlformats.org/officeDocument/2006/relationships/hyperlink" Target="https://www.publico.es/publico-tv/directo/728460/otra-vuelta-de-tuerka-7-de-diciembre-de-2018?utm_source=twitter&amp;utm_medium=social&amp;utm_campaign=publico" TargetMode="External"/><Relationship Id="rId1444" Type="http://schemas.openxmlformats.org/officeDocument/2006/relationships/hyperlink" Target="https://twitter.com/Schuma78/status/1070999672238587905" TargetMode="External"/><Relationship Id="rId1651" Type="http://schemas.openxmlformats.org/officeDocument/2006/relationships/hyperlink" Target="http://shr.gs/2NDO9Pb" TargetMode="External"/><Relationship Id="rId1889" Type="http://schemas.openxmlformats.org/officeDocument/2006/relationships/hyperlink" Target="https://pbs.twimg.com/media/DtzHLJeX4AYIld-.jpg" TargetMode="External"/><Relationship Id="rId2067" Type="http://schemas.openxmlformats.org/officeDocument/2006/relationships/hyperlink" Target="https://youtu.be/B0WhHWJXrv4" TargetMode="External"/><Relationship Id="rId2274" Type="http://schemas.openxmlformats.org/officeDocument/2006/relationships/hyperlink" Target="https://www.mediterraneodigital.com/espana/comunidad-de-madrid/pablo-iglesias-me-da-vergueenza-como-espanol-que-exista-vox.html" TargetMode="External"/><Relationship Id="rId2481" Type="http://schemas.openxmlformats.org/officeDocument/2006/relationships/hyperlink" Target="http://pic.twitter.com/AxLhqhl8Ng" TargetMode="External"/><Relationship Id="rId246" Type="http://schemas.openxmlformats.org/officeDocument/2006/relationships/hyperlink" Target="https://www.huffingtonpost.es/esther-palomera/que-diran-de-ellos-cuando-ya-no-esten_a_23611994/" TargetMode="External"/><Relationship Id="rId453" Type="http://schemas.openxmlformats.org/officeDocument/2006/relationships/hyperlink" Target="http://ver.20m.es/_v1jq2" TargetMode="External"/><Relationship Id="rId660" Type="http://schemas.openxmlformats.org/officeDocument/2006/relationships/hyperlink" Target="https://situacionesdficiles.blog/" TargetMode="External"/><Relationship Id="rId898" Type="http://schemas.openxmlformats.org/officeDocument/2006/relationships/hyperlink" Target="https://www.huffingtonpost.es/2018/12/07/el-dardo-de-bertin-osborne-a-gabriel-rufian-y-pablo-iglesias-espana-es-el-pais-con-mas-politicos-idiotas-por-metro-cuadrado_a_23611885/?ncid=other_twitter_cooo9wqtham&amp;utm_campaign=share_twitter" TargetMode="External"/><Relationship Id="rId1083" Type="http://schemas.openxmlformats.org/officeDocument/2006/relationships/hyperlink" Target="http://chng.it/k9VGcBvZ" TargetMode="External"/><Relationship Id="rId1290" Type="http://schemas.openxmlformats.org/officeDocument/2006/relationships/hyperlink" Target="http://www.impactocna.com/" TargetMode="External"/><Relationship Id="rId1304" Type="http://schemas.openxmlformats.org/officeDocument/2006/relationships/hyperlink" Target="https://www.mediterraneodigital.com/espana/economia/los-diputados-aprueban-subirse-el-sueldo-un-2-5.html" TargetMode="External"/><Relationship Id="rId1511" Type="http://schemas.openxmlformats.org/officeDocument/2006/relationships/hyperlink" Target="https://pbs.twimg.com/media/DtqqvGsXgAA2bUW.jpg" TargetMode="External"/><Relationship Id="rId1749" Type="http://schemas.openxmlformats.org/officeDocument/2006/relationships/hyperlink" Target="https://www.youtube.com/watch?time_continue=1&amp;v=OBEluUwFIu0" TargetMode="External"/><Relationship Id="rId1956" Type="http://schemas.openxmlformats.org/officeDocument/2006/relationships/hyperlink" Target="https://www.20minutos.es/noticia/3510041/0/cocinero-apellas-faltas-ortografia-rivales-pablo-iglesias-primarias-podemos/" TargetMode="External"/><Relationship Id="rId2134" Type="http://schemas.openxmlformats.org/officeDocument/2006/relationships/hyperlink" Target="https://youtu.be/1za8rk_ZEuU" TargetMode="External"/><Relationship Id="rId2341" Type="http://schemas.openxmlformats.org/officeDocument/2006/relationships/hyperlink" Target="https://twitter.com/PABL0_IGLESIAS/status/1070648569017888768" TargetMode="External"/><Relationship Id="rId106" Type="http://schemas.openxmlformats.org/officeDocument/2006/relationships/hyperlink" Target="https://www.elmundo.es/loc/famosos/2018/12/08/5c0a3ffffc6c8320198b45e5.html" TargetMode="External"/><Relationship Id="rId313" Type="http://schemas.openxmlformats.org/officeDocument/2006/relationships/hyperlink" Target="http://eldebate.es/" TargetMode="External"/><Relationship Id="rId758" Type="http://schemas.openxmlformats.org/officeDocument/2006/relationships/hyperlink" Target="http://pic.twitter.com/c77Ng4N0u5" TargetMode="External"/><Relationship Id="rId965" Type="http://schemas.openxmlformats.org/officeDocument/2006/relationships/hyperlink" Target="https://www.huffingtonpost.es/2018/12/07/el-dardo-de-bertin-osborne-a-gabriel-rufian-y-pablo-iglesias-espana-es-el-pais-con-mas-politicos-idiotas-por-metro-cuadrado_a_23611885/?ncid=other_twitter_cooo9wqtham&amp;utm_campaign=share_twitter" TargetMode="External"/><Relationship Id="rId1150" Type="http://schemas.openxmlformats.org/officeDocument/2006/relationships/hyperlink" Target="https://youtu.be/QFj42skgk1c" TargetMode="External"/><Relationship Id="rId1388" Type="http://schemas.openxmlformats.org/officeDocument/2006/relationships/hyperlink" Target="https://contrainformacion.es/iu-y-el-pce-presentan-una-querella-contra-entre-otros-el-rey-emerito-porque-esta-monarquia-no-es-trigo-limpio-aunque-hoy-nos-den-lecciones-de-democracia/" TargetMode="External"/><Relationship Id="rId1595" Type="http://schemas.openxmlformats.org/officeDocument/2006/relationships/hyperlink" Target="https://eldebate.es/politica-de-estado/las-4-menciones-a-espana-que-podemos-borro-del-discurso-de-pablo-iglesias-tras-el-2-d-20181207" TargetMode="External"/><Relationship Id="rId1609" Type="http://schemas.openxmlformats.org/officeDocument/2006/relationships/hyperlink" Target="http://pic.twitter.com/6tUJxaMxUR" TargetMode="External"/><Relationship Id="rId1816" Type="http://schemas.openxmlformats.org/officeDocument/2006/relationships/hyperlink" Target="http://www.que.es/" TargetMode="External"/><Relationship Id="rId2439" Type="http://schemas.openxmlformats.org/officeDocument/2006/relationships/hyperlink" Target="https://pbs.twimg.com/media/DtwmvDUWoAACe_K.jpg" TargetMode="External"/><Relationship Id="rId10" Type="http://schemas.openxmlformats.org/officeDocument/2006/relationships/hyperlink" Target="https://casoaislado.com/miles-de-espanoles-firman-para-que-pablo-iglesias-sea-condenado-a-prision-por-delito-de-odio-contra-vox/" TargetMode="External"/><Relationship Id="rId94" Type="http://schemas.openxmlformats.org/officeDocument/2006/relationships/hyperlink" Target="https://www.marca.com/tiramillas/actualidad/2018/12/08/5c0bb52022601dd0208b465d.html?utm_source=dlvr.it&amp;utm_medium=twitter" TargetMode="External"/><Relationship Id="rId397" Type="http://schemas.openxmlformats.org/officeDocument/2006/relationships/hyperlink" Target="https://pbs.twimg.com/media/Dtp7hGmW0AACW4H.jpg" TargetMode="External"/><Relationship Id="rId520" Type="http://schemas.openxmlformats.org/officeDocument/2006/relationships/hyperlink" Target="https://www.elmundo.es/loc/famosos/2018/12/08/5c0a3ffffc6c8320198b45e5.html" TargetMode="External"/><Relationship Id="rId618" Type="http://schemas.openxmlformats.org/officeDocument/2006/relationships/hyperlink" Target="https://twitter.com/YolandaTabarnia/status/1071068718455754763" TargetMode="External"/><Relationship Id="rId825" Type="http://schemas.openxmlformats.org/officeDocument/2006/relationships/hyperlink" Target="https://www.libertaddigital.com/espana/2018-12-03/abascal-responsabiliza-a-pablo-iglesias-de-la-violencia-que-se-produzca-contra-su-partido-1276629261/" TargetMode="External"/><Relationship Id="rId1248" Type="http://schemas.openxmlformats.org/officeDocument/2006/relationships/hyperlink" Target="http://youtu.be/H3CtjFL26Tw?a" TargetMode="External"/><Relationship Id="rId1455" Type="http://schemas.openxmlformats.org/officeDocument/2006/relationships/hyperlink" Target="https://www.esdiario.com/781025410/Pablo-Iglesias-se-desespera-al-quedarse-solo-en-su-caceria-al-Rey-Juan-Carlos.html" TargetMode="External"/><Relationship Id="rId1662" Type="http://schemas.openxmlformats.org/officeDocument/2006/relationships/hyperlink" Target="http://pic.twitter.com/DIMjapOq7P" TargetMode="External"/><Relationship Id="rId2078" Type="http://schemas.openxmlformats.org/officeDocument/2006/relationships/hyperlink" Target="https://participa.podemos.info/avales-candidaturas-congreso-diputados" TargetMode="External"/><Relationship Id="rId2201" Type="http://schemas.openxmlformats.org/officeDocument/2006/relationships/hyperlink" Target="https://pbs.twimg.com/media/DtxC7jfWwAAjvb_.jpg" TargetMode="External"/><Relationship Id="rId2285" Type="http://schemas.openxmlformats.org/officeDocument/2006/relationships/hyperlink" Target="https://pbs.twimg.com/media/Dtw4RXtX4AAFdHa.jpg" TargetMode="External"/><Relationship Id="rId2492" Type="http://schemas.openxmlformats.org/officeDocument/2006/relationships/hyperlink" Target="https://twitter.com/cultrun/status/1070714655394406400" TargetMode="External"/><Relationship Id="rId2506" Type="http://schemas.openxmlformats.org/officeDocument/2006/relationships/hyperlink" Target="https://www.mediterraneodigital.com/espana/comunidad-de-madrid/pablo-iglesias-me-da-vergueenza-como-espanol-que-exista-vox.html" TargetMode="External"/><Relationship Id="rId257" Type="http://schemas.openxmlformats.org/officeDocument/2006/relationships/hyperlink" Target="https://www.facebook.com/victoriandres" TargetMode="External"/><Relationship Id="rId464" Type="http://schemas.openxmlformats.org/officeDocument/2006/relationships/hyperlink" Target="https://www.huffingtonpost.es/esther-palomera/que-diran-de-ellos-cuando-ya-no-esten_a_23611994/" TargetMode="External"/><Relationship Id="rId1010" Type="http://schemas.openxmlformats.org/officeDocument/2006/relationships/hyperlink" Target="http://pic.twitter.com/aYdLdVs4Ja" TargetMode="External"/><Relationship Id="rId1094" Type="http://schemas.openxmlformats.org/officeDocument/2006/relationships/hyperlink" Target="https://okdiario.com/espana/2018/12/07/iglesias-da-razon-abascal-derecho-portar-armas-bases-democracia-3438627" TargetMode="External"/><Relationship Id="rId1108" Type="http://schemas.openxmlformats.org/officeDocument/2006/relationships/hyperlink" Target="https://twitter.com/agarzon/status/1070600644908777472" TargetMode="External"/><Relationship Id="rId1315" Type="http://schemas.openxmlformats.org/officeDocument/2006/relationships/hyperlink" Target="https://bit.ly/2E89qFe" TargetMode="External"/><Relationship Id="rId1967" Type="http://schemas.openxmlformats.org/officeDocument/2006/relationships/hyperlink" Target="https://goo.gl/ZAe9Dj?gny51=7279560204" TargetMode="External"/><Relationship Id="rId2145" Type="http://schemas.openxmlformats.org/officeDocument/2006/relationships/hyperlink" Target="http://dlvr.it/Qt1MbG" TargetMode="External"/><Relationship Id="rId117" Type="http://schemas.openxmlformats.org/officeDocument/2006/relationships/hyperlink" Target="http://www.diarioalcazar.com/2018/12/pablo-iglesias-podria-ser-juzgado-por.html?m=1&amp;fbclid=IwAR0NzKZya142PxdvH4SJ6Z0pUxrPqlWkzR47RWCeyEXlQGXbs4Uk5ylqpzA" TargetMode="External"/><Relationship Id="rId671" Type="http://schemas.openxmlformats.org/officeDocument/2006/relationships/hyperlink" Target="https://youtu.be/pweHNJ1jf_A" TargetMode="External"/><Relationship Id="rId769" Type="http://schemas.openxmlformats.org/officeDocument/2006/relationships/hyperlink" Target="https://youtu.be/12Qr1C18reM" TargetMode="External"/><Relationship Id="rId976" Type="http://schemas.openxmlformats.org/officeDocument/2006/relationships/hyperlink" Target="https://pbs.twimg.com/media/Dt1yfcZXcAACawL.jpg" TargetMode="External"/><Relationship Id="rId1399" Type="http://schemas.openxmlformats.org/officeDocument/2006/relationships/hyperlink" Target="http://www.que.es/" TargetMode="External"/><Relationship Id="rId2352" Type="http://schemas.openxmlformats.org/officeDocument/2006/relationships/hyperlink" Target="https://twitter.com/Talaverano78/status/1070782108044574720" TargetMode="External"/><Relationship Id="rId324" Type="http://schemas.openxmlformats.org/officeDocument/2006/relationships/hyperlink" Target="https://eldebate.es/politica-de-estado/las-4-menciones-a-espana-que-podemos-borro-del-discurso-de-pablo-iglesias-tras-el-2-d-20181207" TargetMode="External"/><Relationship Id="rId531" Type="http://schemas.openxmlformats.org/officeDocument/2006/relationships/hyperlink" Target="https://twitter.com/danierdecai35/status/1070800695945760768" TargetMode="External"/><Relationship Id="rId629" Type="http://schemas.openxmlformats.org/officeDocument/2006/relationships/hyperlink" Target="https://pbs.twimg.com/media/Dt4K1xJXgAUCQaB.jpg" TargetMode="External"/><Relationship Id="rId1161" Type="http://schemas.openxmlformats.org/officeDocument/2006/relationships/hyperlink" Target="http://chng.it/WmzFM9yt" TargetMode="External"/><Relationship Id="rId1259" Type="http://schemas.openxmlformats.org/officeDocument/2006/relationships/hyperlink" Target="https://www.lasvocesdelpueblo.com/podemos-romperemos-en-pedazos-el-discurso-de-vox-pablo-iglesias-sera-presidente-de-gobierno/" TargetMode="External"/><Relationship Id="rId1466" Type="http://schemas.openxmlformats.org/officeDocument/2006/relationships/hyperlink" Target="https://twitter.com/RIVAS_Llanera/status/1071017610152738817" TargetMode="External"/><Relationship Id="rId2005" Type="http://schemas.openxmlformats.org/officeDocument/2006/relationships/hyperlink" Target="http://pic.twitter.com/zBlNhBBfBb" TargetMode="External"/><Relationship Id="rId2212" Type="http://schemas.openxmlformats.org/officeDocument/2006/relationships/hyperlink" Target="http://www.amanecequenoespoco.com/" TargetMode="External"/><Relationship Id="rId836" Type="http://schemas.openxmlformats.org/officeDocument/2006/relationships/hyperlink" Target="https://m.eldiario.es/politica/Pablo-Iglesias-contrapone-republicanismo-feminista_0_843416120.html" TargetMode="External"/><Relationship Id="rId1021" Type="http://schemas.openxmlformats.org/officeDocument/2006/relationships/hyperlink" Target="https://www.youtube.com/channel/UC4pLa55R6EOOyyfUaZ3eenQ" TargetMode="External"/><Relationship Id="rId1119" Type="http://schemas.openxmlformats.org/officeDocument/2006/relationships/hyperlink" Target="http://facebook.com/luisvicentetor8" TargetMode="External"/><Relationship Id="rId1673" Type="http://schemas.openxmlformats.org/officeDocument/2006/relationships/hyperlink" Target="https://www.instagram.com/tony_munoz92/" TargetMode="External"/><Relationship Id="rId1880" Type="http://schemas.openxmlformats.org/officeDocument/2006/relationships/hyperlink" Target="https://youtu.be/3RkLe1Z7hp4" TargetMode="External"/><Relationship Id="rId1978" Type="http://schemas.openxmlformats.org/officeDocument/2006/relationships/hyperlink" Target="http://www.esdiario.com/" TargetMode="External"/><Relationship Id="rId2517" Type="http://schemas.openxmlformats.org/officeDocument/2006/relationships/hyperlink" Target="http://youtu.be/3eLKQ-zSPsk?a" TargetMode="External"/><Relationship Id="rId903" Type="http://schemas.openxmlformats.org/officeDocument/2006/relationships/hyperlink" Target="https://www.huffingtonpost.es/2018/12/07/el-dardo-de-bertin-osborne-a-gabriel-rufian-y-pablo-iglesias-espana-es-el-pais-con-mas-politicos-idiotas-por-metro-cuadrado_a_23611885/?ncid=other_twitter_cooo9wqtham&amp;utm_campaign=share_twitter" TargetMode="External"/><Relationship Id="rId1326" Type="http://schemas.openxmlformats.org/officeDocument/2006/relationships/hyperlink" Target="https://www.periodistadigital.com/periodismo/tv/2018/12/05/ferreras-echenique-pistola-abascal-anguita-podemita-vox.shtml" TargetMode="External"/><Relationship Id="rId1533" Type="http://schemas.openxmlformats.org/officeDocument/2006/relationships/hyperlink" Target="https://www.esdiario.com/781025410/Pablo-Iglesias-se-desespera-al-quedarse-solo-en-su-caceria-al-Rey-Juan-Carlos.html" TargetMode="External"/><Relationship Id="rId1740" Type="http://schemas.openxmlformats.org/officeDocument/2006/relationships/hyperlink" Target="http://www.vlcnoticias.com/" TargetMode="External"/><Relationship Id="rId32" Type="http://schemas.openxmlformats.org/officeDocument/2006/relationships/hyperlink" Target="https://www.youtube.com/channel/UCfK2E_-PvYyMdJFhpFwHQ9A" TargetMode="External"/><Relationship Id="rId1600" Type="http://schemas.openxmlformats.org/officeDocument/2006/relationships/hyperlink" Target="http://ask.fm/rauldelarosac" TargetMode="External"/><Relationship Id="rId1838" Type="http://schemas.openxmlformats.org/officeDocument/2006/relationships/hyperlink" Target="http://www.bartrom.com/" TargetMode="External"/><Relationship Id="rId181" Type="http://schemas.openxmlformats.org/officeDocument/2006/relationships/hyperlink" Target="http://www.anomics.es/" TargetMode="External"/><Relationship Id="rId1905" Type="http://schemas.openxmlformats.org/officeDocument/2006/relationships/hyperlink" Target="https://twitter.com/DeMarichalar/status/1070665024480403457" TargetMode="External"/><Relationship Id="rId279" Type="http://schemas.openxmlformats.org/officeDocument/2006/relationships/hyperlink" Target="http://www.ramblalibre.com/" TargetMode="External"/><Relationship Id="rId486" Type="http://schemas.openxmlformats.org/officeDocument/2006/relationships/hyperlink" Target="https://neuronactiva7.blogspot.com/" TargetMode="External"/><Relationship Id="rId693" Type="http://schemas.openxmlformats.org/officeDocument/2006/relationships/hyperlink" Target="https://pbs.twimg.com/media/Dt3wWrtW4AATi7R.jpg" TargetMode="External"/><Relationship Id="rId2167" Type="http://schemas.openxmlformats.org/officeDocument/2006/relationships/hyperlink" Target="https://okdiario.com/espana/2018/12/06/pablo-iglesias-reivindica-republica-como-solucion-problemas-espana-3435080" TargetMode="External"/><Relationship Id="rId2374" Type="http://schemas.openxmlformats.org/officeDocument/2006/relationships/hyperlink" Target="https://elpais.com/elpais/2018/12/05/ciencia/1544007034_265553.html" TargetMode="External"/><Relationship Id="rId139" Type="http://schemas.openxmlformats.org/officeDocument/2006/relationships/hyperlink" Target="http://verdaderaizquierda.blogspot.com/" TargetMode="External"/><Relationship Id="rId346" Type="http://schemas.openxmlformats.org/officeDocument/2006/relationships/hyperlink" Target="https://blogs.publico.es/dominiopublico/27340/carta-al-tipo-que-mando-una-carta-a-pablo-iglesias/" TargetMode="External"/><Relationship Id="rId553" Type="http://schemas.openxmlformats.org/officeDocument/2006/relationships/hyperlink" Target="https://pbs.twimg.com/media/Dt4ZNGkXcAAUokz.jpg" TargetMode="External"/><Relationship Id="rId760" Type="http://schemas.openxmlformats.org/officeDocument/2006/relationships/hyperlink" Target="https://www.change.org/p/ministerio-de-justicia-pena-de-prisi%C3%B3n-de-1-a-4-a%C3%B1os-para-pablo-iglesias-por-delito-de-odio" TargetMode="External"/><Relationship Id="rId998" Type="http://schemas.openxmlformats.org/officeDocument/2006/relationships/hyperlink" Target="https://youtu.be/hm-DNijFbYk" TargetMode="External"/><Relationship Id="rId1183" Type="http://schemas.openxmlformats.org/officeDocument/2006/relationships/hyperlink" Target="https://youtu.be/gjuLta58Png" TargetMode="External"/><Relationship Id="rId1390" Type="http://schemas.openxmlformats.org/officeDocument/2006/relationships/hyperlink" Target="https://pbs.twimg.com/media/DtvjNk4W4AA7gVr.jpg" TargetMode="External"/><Relationship Id="rId2027" Type="http://schemas.openxmlformats.org/officeDocument/2006/relationships/hyperlink" Target="https://pbs.twimg.com/media/DtvGxdWWwAE-nt9.jpg" TargetMode="External"/><Relationship Id="rId2234" Type="http://schemas.openxmlformats.org/officeDocument/2006/relationships/hyperlink" Target="http://pic.twitter.com/B2dnhj5d9l" TargetMode="External"/><Relationship Id="rId2441" Type="http://schemas.openxmlformats.org/officeDocument/2006/relationships/hyperlink" Target="https://twitter.com/teresajb47/status/1070708421610127365" TargetMode="External"/><Relationship Id="rId206" Type="http://schemas.openxmlformats.org/officeDocument/2006/relationships/hyperlink" Target="https://m.publico.es/columnas/110597571549/dominio-publico-carta-al-tipo-que-mando-una-carta-a-pablo-iglesias" TargetMode="External"/><Relationship Id="rId413" Type="http://schemas.openxmlformats.org/officeDocument/2006/relationships/hyperlink" Target="http://youtu.be/3eLKQ-zSPsk?a" TargetMode="External"/><Relationship Id="rId858" Type="http://schemas.openxmlformats.org/officeDocument/2006/relationships/hyperlink" Target="https://pbs.twimg.com/media/Dt2N9OdWsAANpjK.jpg" TargetMode="External"/><Relationship Id="rId1043" Type="http://schemas.openxmlformats.org/officeDocument/2006/relationships/hyperlink" Target="http://lavidaenverso.bligoo.es/" TargetMode="External"/><Relationship Id="rId1488" Type="http://schemas.openxmlformats.org/officeDocument/2006/relationships/hyperlink" Target="http://pic.twitter.com/WRzctxicD1" TargetMode="External"/><Relationship Id="rId1695" Type="http://schemas.openxmlformats.org/officeDocument/2006/relationships/hyperlink" Target="https://www.periodistadigital.com/periodismo/prensa/2018/12/07/payasada-casposa-podemos-cuelan-logo-republica-marca-champu-wella-balsam-pablo-iglesias.shtml" TargetMode="External"/><Relationship Id="rId2539" Type="http://schemas.openxmlformats.org/officeDocument/2006/relationships/hyperlink" Target="https://okdiario.com/espana/2018/12/06/pablo-iglesias-reivindica-republica-como-solucion-problemas-espana-3435080" TargetMode="External"/><Relationship Id="rId620" Type="http://schemas.openxmlformats.org/officeDocument/2006/relationships/hyperlink" Target="https://twitter.com/elespanolcom/status/1070728324198985728" TargetMode="External"/><Relationship Id="rId718" Type="http://schemas.openxmlformats.org/officeDocument/2006/relationships/hyperlink" Target="https://www.youtube.com/channel/UCez8wUpapFjDXh2updwvBtA?view_as=subscriber" TargetMode="External"/><Relationship Id="rId925" Type="http://schemas.openxmlformats.org/officeDocument/2006/relationships/hyperlink" Target="https://pbs.twimg.com/media/Dt1_vkIXQAARtOc.jpg" TargetMode="External"/><Relationship Id="rId1250" Type="http://schemas.openxmlformats.org/officeDocument/2006/relationships/hyperlink" Target="https://english.danielestulin.com/" TargetMode="External"/><Relationship Id="rId1348" Type="http://schemas.openxmlformats.org/officeDocument/2006/relationships/hyperlink" Target="http://eldebate.es/" TargetMode="External"/><Relationship Id="rId1555" Type="http://schemas.openxmlformats.org/officeDocument/2006/relationships/hyperlink" Target="https://pbs.twimg.com/media/Dt0EdWTXcAAaY7x.jpg" TargetMode="External"/><Relationship Id="rId1762" Type="http://schemas.openxmlformats.org/officeDocument/2006/relationships/hyperlink" Target="https://youtu.be/PNx8YV40Gbk" TargetMode="External"/><Relationship Id="rId2301" Type="http://schemas.openxmlformats.org/officeDocument/2006/relationships/hyperlink" Target="https://twitter.com/Bcnisnotcat_/status/1070375084420988929" TargetMode="External"/><Relationship Id="rId1110" Type="http://schemas.openxmlformats.org/officeDocument/2006/relationships/hyperlink" Target="http://pic.twitter.com/h8QFQb9Zn1" TargetMode="External"/><Relationship Id="rId1208" Type="http://schemas.openxmlformats.org/officeDocument/2006/relationships/hyperlink" Target="https://twitter.com/infiltradoxxx/status/1070783826413129729" TargetMode="External"/><Relationship Id="rId1415" Type="http://schemas.openxmlformats.org/officeDocument/2006/relationships/hyperlink" Target="https://twitter.com/abalosmeco/status/1070677022702231552" TargetMode="External"/><Relationship Id="rId54" Type="http://schemas.openxmlformats.org/officeDocument/2006/relationships/hyperlink" Target="http://www.larazon.es/" TargetMode="External"/><Relationship Id="rId1622" Type="http://schemas.openxmlformats.org/officeDocument/2006/relationships/hyperlink" Target="https://eldebate.es/politica-de-estado/las-4-menciones-a-espana-que-podemos-borro-del-discurso-de-pablo-iglesias-tras-el-2-d-20181207" TargetMode="External"/><Relationship Id="rId1927" Type="http://schemas.openxmlformats.org/officeDocument/2006/relationships/hyperlink" Target="https://twitter.com/orbitaeduardo/status/1070791475988975617" TargetMode="External"/><Relationship Id="rId2091" Type="http://schemas.openxmlformats.org/officeDocument/2006/relationships/hyperlink" Target="https://twitter.com/arturelpayaso2/status/1070703901127651329" TargetMode="External"/><Relationship Id="rId2189" Type="http://schemas.openxmlformats.org/officeDocument/2006/relationships/hyperlink" Target="https://bit.ly/2KXHrcO" TargetMode="External"/><Relationship Id="rId270" Type="http://schemas.openxmlformats.org/officeDocument/2006/relationships/hyperlink" Target="https://pbs.twimg.com/media/DtFg68TXoAEbFCA.jpg" TargetMode="External"/><Relationship Id="rId2396" Type="http://schemas.openxmlformats.org/officeDocument/2006/relationships/hyperlink" Target="https://www.libertaddigital.com/espana/2018-12-06/el-simbolo-republicano-de-podemos-es-un-logo-de-peluqueria-que-cuesta-950-euros-1276629498/" TargetMode="External"/><Relationship Id="rId130" Type="http://schemas.openxmlformats.org/officeDocument/2006/relationships/hyperlink" Target="https://pbs.twimg.com/media/Dt5s_5-V4AAaicv.jpg" TargetMode="External"/><Relationship Id="rId368" Type="http://schemas.openxmlformats.org/officeDocument/2006/relationships/hyperlink" Target="http://izquierdasocialistamalaga.blogspot.com/2018/12/homenaje-pablo-iglesias.html" TargetMode="External"/><Relationship Id="rId575" Type="http://schemas.openxmlformats.org/officeDocument/2006/relationships/hyperlink" Target="https://pbs.twimg.com/media/Dtkuw5oXcAIO9xZ.jpg" TargetMode="External"/><Relationship Id="rId782" Type="http://schemas.openxmlformats.org/officeDocument/2006/relationships/hyperlink" Target="https://youtu.be/pweHNJ1jf_A" TargetMode="External"/><Relationship Id="rId2049" Type="http://schemas.openxmlformats.org/officeDocument/2006/relationships/hyperlink" Target="https://twitter.com/JuanraLucas/status/1070681798819151872" TargetMode="External"/><Relationship Id="rId2256" Type="http://schemas.openxmlformats.org/officeDocument/2006/relationships/hyperlink" Target="http://a.msn.com/01/es-es/BBQzGwm?ocid=st" TargetMode="External"/><Relationship Id="rId2463" Type="http://schemas.openxmlformats.org/officeDocument/2006/relationships/hyperlink" Target="https://youtu.be/SYDcIq0xzZQ" TargetMode="External"/><Relationship Id="rId228" Type="http://schemas.openxmlformats.org/officeDocument/2006/relationships/hyperlink" Target="http://www.ramblalibre.com/" TargetMode="External"/><Relationship Id="rId435" Type="http://schemas.openxmlformats.org/officeDocument/2006/relationships/hyperlink" Target="https://www.periodistadigital.com/ocio-y-cultura/gente/2018/12/08/bertin-osborne-hunde-miseria-pablo-iglesias-no-voto-muerto-borracho-vino.shtml" TargetMode="External"/><Relationship Id="rId642" Type="http://schemas.openxmlformats.org/officeDocument/2006/relationships/hyperlink" Target="http://www.youtube.com/user/avvnuevaeuropa?feature=results_main" TargetMode="External"/><Relationship Id="rId1065" Type="http://schemas.openxmlformats.org/officeDocument/2006/relationships/hyperlink" Target="http://www.lahoradigital.com/" TargetMode="External"/><Relationship Id="rId1272" Type="http://schemas.openxmlformats.org/officeDocument/2006/relationships/hyperlink" Target="http://esradio.libertaddigital.com/es-la-tarde-de-dieter/" TargetMode="External"/><Relationship Id="rId2116" Type="http://schemas.openxmlformats.org/officeDocument/2006/relationships/hyperlink" Target="https://twitter.com/LaLupaJudicial/status/1070815712346808320" TargetMode="External"/><Relationship Id="rId2323" Type="http://schemas.openxmlformats.org/officeDocument/2006/relationships/hyperlink" Target="http://bit.ly/2KXHrcO" TargetMode="External"/><Relationship Id="rId2530" Type="http://schemas.openxmlformats.org/officeDocument/2006/relationships/hyperlink" Target="http://about.me/marisoltabuyo" TargetMode="External"/><Relationship Id="rId502" Type="http://schemas.openxmlformats.org/officeDocument/2006/relationships/hyperlink" Target="https://gaceta.es/noticias/carta-abierta-santiago-abascal-pablo-iglesias-25042016-1321/" TargetMode="External"/><Relationship Id="rId947" Type="http://schemas.openxmlformats.org/officeDocument/2006/relationships/hyperlink" Target="http://pic.twitter.com/ylAs9vnvTB" TargetMode="External"/><Relationship Id="rId1132" Type="http://schemas.openxmlformats.org/officeDocument/2006/relationships/hyperlink" Target="https://pbs.twimg.com/media/Dt1WSxEX4AEkXlV.jpg" TargetMode="External"/><Relationship Id="rId1577" Type="http://schemas.openxmlformats.org/officeDocument/2006/relationships/hyperlink" Target="http://bit.ly/2KXHrcO" TargetMode="External"/><Relationship Id="rId1784" Type="http://schemas.openxmlformats.org/officeDocument/2006/relationships/hyperlink" Target="https://pbs.twimg.com/media/DtzW5NLVsAAh_TC.jpg" TargetMode="External"/><Relationship Id="rId1991" Type="http://schemas.openxmlformats.org/officeDocument/2006/relationships/hyperlink" Target="https://pbs.twimg.com/media/DtyIOmQWoAEuWfV.jpg" TargetMode="External"/><Relationship Id="rId76" Type="http://schemas.openxmlformats.org/officeDocument/2006/relationships/hyperlink" Target="http://www.huffingtonpost.es/" TargetMode="External"/><Relationship Id="rId807" Type="http://schemas.openxmlformats.org/officeDocument/2006/relationships/hyperlink" Target="https://eldebate.es/politica-de-estado/las-4-menciones-a-espana-que-podemos-borro-del-discurso-de-pablo-iglesias-tras-el-2-d-20181207?utm_medium=social&amp;utm_source=twitter&amp;utm_campaign=shareweb&amp;utm_content=footer&amp;utm_origin=footer" TargetMode="External"/><Relationship Id="rId1437" Type="http://schemas.openxmlformats.org/officeDocument/2006/relationships/hyperlink" Target="https://eldebate.es/" TargetMode="External"/><Relationship Id="rId1644" Type="http://schemas.openxmlformats.org/officeDocument/2006/relationships/hyperlink" Target="https://www.elmatinal.com/actualidad/piden-la-detencion-de-pablo-iglesias-por-ser-el-promotor-de-las-violentas-manifestaciones-contra-vox-en-andalucia/" TargetMode="External"/><Relationship Id="rId1851" Type="http://schemas.openxmlformats.org/officeDocument/2006/relationships/hyperlink" Target="http://pic.twitter.com/ik7v2RuLGR" TargetMode="External"/><Relationship Id="rId1504" Type="http://schemas.openxmlformats.org/officeDocument/2006/relationships/hyperlink" Target="https://pbs.twimg.com/media/Dt0L3NiW0AAkpEe.jpg" TargetMode="External"/><Relationship Id="rId1711" Type="http://schemas.openxmlformats.org/officeDocument/2006/relationships/hyperlink" Target="https://pbs.twimg.com/media/DtzjgOlXgAApgYw.jpg" TargetMode="External"/><Relationship Id="rId1949" Type="http://schemas.openxmlformats.org/officeDocument/2006/relationships/hyperlink" Target="https://pbs.twimg.com/media/Dty26Y1XgAEh0wC.jpg" TargetMode="External"/><Relationship Id="rId292" Type="http://schemas.openxmlformats.org/officeDocument/2006/relationships/hyperlink" Target="http://chng.it/mzfvfFYH" TargetMode="External"/><Relationship Id="rId1809" Type="http://schemas.openxmlformats.org/officeDocument/2006/relationships/hyperlink" Target="http://www.pipasdecoco.com/" TargetMode="External"/><Relationship Id="rId597" Type="http://schemas.openxmlformats.org/officeDocument/2006/relationships/hyperlink" Target="http://www.psoemalaga.es/" TargetMode="External"/><Relationship Id="rId2180" Type="http://schemas.openxmlformats.org/officeDocument/2006/relationships/hyperlink" Target="https://pbs.twimg.com/media/DtxBLfUWoAAjleW.jpg" TargetMode="External"/><Relationship Id="rId2278" Type="http://schemas.openxmlformats.org/officeDocument/2006/relationships/hyperlink" Target="http://instagram.com/j7barrero" TargetMode="External"/><Relationship Id="rId2485" Type="http://schemas.openxmlformats.org/officeDocument/2006/relationships/hyperlink" Target="https://pbs.twimg.com/media/DtwfrZ9W0AAO-5U.jpg" TargetMode="External"/><Relationship Id="rId152" Type="http://schemas.openxmlformats.org/officeDocument/2006/relationships/hyperlink" Target="https://www.elmundo.es/loc/famosos/2018/12/08/5c0a3ffffc6c8320198b45e5.html" TargetMode="External"/><Relationship Id="rId457" Type="http://schemas.openxmlformats.org/officeDocument/2006/relationships/hyperlink" Target="http://www.opinionydebate.es/" TargetMode="External"/><Relationship Id="rId1087" Type="http://schemas.openxmlformats.org/officeDocument/2006/relationships/hyperlink" Target="https://pbs.twimg.com/media/Dt1gqWaW4AIWZki.jpg" TargetMode="External"/><Relationship Id="rId1294" Type="http://schemas.openxmlformats.org/officeDocument/2006/relationships/hyperlink" Target="http://shr.gs/SRuADHm" TargetMode="External"/><Relationship Id="rId2040" Type="http://schemas.openxmlformats.org/officeDocument/2006/relationships/hyperlink" Target="https://twitter.com/NicolasLucca/status/1070836913299513344" TargetMode="External"/><Relationship Id="rId2138" Type="http://schemas.openxmlformats.org/officeDocument/2006/relationships/hyperlink" Target="https://digitalsevilla.com/2018/12/05/eduardo-inda-acusa-a-pablo-iglesias-de-querer-que-me-partan-la-cara-por-la-calle/" TargetMode="External"/><Relationship Id="rId664" Type="http://schemas.openxmlformats.org/officeDocument/2006/relationships/hyperlink" Target="http://pic.twitter.com/JNOIm4oxA8" TargetMode="External"/><Relationship Id="rId871" Type="http://schemas.openxmlformats.org/officeDocument/2006/relationships/hyperlink" Target="http://pic.twitter.com/0NuPJ0PknK" TargetMode="External"/><Relationship Id="rId969" Type="http://schemas.openxmlformats.org/officeDocument/2006/relationships/hyperlink" Target="https://youtu.be/SYDcIq0xzZQ" TargetMode="External"/><Relationship Id="rId1599" Type="http://schemas.openxmlformats.org/officeDocument/2006/relationships/hyperlink" Target="http://youtu.be/3eLKQ-zSPsk?a" TargetMode="External"/><Relationship Id="rId2345" Type="http://schemas.openxmlformats.org/officeDocument/2006/relationships/hyperlink" Target="https://pbs.twimg.com/media/Dtwwlq0XgAMabls.jpg" TargetMode="External"/><Relationship Id="rId2552" Type="http://schemas.openxmlformats.org/officeDocument/2006/relationships/hyperlink" Target="https://pbs.twimg.com/media/DtwY1wdWsAA2Mov.jpg" TargetMode="External"/><Relationship Id="rId317" Type="http://schemas.openxmlformats.org/officeDocument/2006/relationships/hyperlink" Target="http://ramblalibre.com/2018/12/08/carta-a-pablo-iglesias-eres-un-botarate-rancio-al-que-solo-votan-las-emporradas/" TargetMode="External"/><Relationship Id="rId524" Type="http://schemas.openxmlformats.org/officeDocument/2006/relationships/hyperlink" Target="https://www.elmundo.es/loc/famosos/2018/12/08/5c0a3ffffc6c8320198b45e5.html" TargetMode="External"/><Relationship Id="rId731" Type="http://schemas.openxmlformats.org/officeDocument/2006/relationships/hyperlink" Target="https://www.20minutos.es/noticia/3508831/0/carta-viral-abierta-andaluz-medico-pablo-iglesias-cuando-usted-predica-pobreza-pero-compra-chale-nace-fascista-elecciones-andalucia-2018-podemos-vox/?utm_source=twitter.com&amp;utm_medium=socialshare&amp;utm_campaign=mobile_amp" TargetMode="External"/><Relationship Id="rId1154" Type="http://schemas.openxmlformats.org/officeDocument/2006/relationships/hyperlink" Target="https://youtu.be/ICizhVOw45Y" TargetMode="External"/><Relationship Id="rId1361" Type="http://schemas.openxmlformats.org/officeDocument/2006/relationships/hyperlink" Target="https://twitter.com/miguelruizojed1/status/1071051111098974208" TargetMode="External"/><Relationship Id="rId1459" Type="http://schemas.openxmlformats.org/officeDocument/2006/relationships/hyperlink" Target="https://pbs.twimg.com/media/Dt0PhviXQAA2PPx.jpg" TargetMode="External"/><Relationship Id="rId2205" Type="http://schemas.openxmlformats.org/officeDocument/2006/relationships/hyperlink" Target="http://pic.twitter.com/jAVTfd9Hks" TargetMode="External"/><Relationship Id="rId2412" Type="http://schemas.openxmlformats.org/officeDocument/2006/relationships/hyperlink" Target="https://twitter.com/isaacparejo/status/1070637349103681536" TargetMode="External"/><Relationship Id="rId98" Type="http://schemas.openxmlformats.org/officeDocument/2006/relationships/hyperlink" Target="https://youtu.be/W3c-zUIsyss" TargetMode="External"/><Relationship Id="rId829" Type="http://schemas.openxmlformats.org/officeDocument/2006/relationships/hyperlink" Target="http://pic.twitter.com/hGpLz9bBM6" TargetMode="External"/><Relationship Id="rId1014" Type="http://schemas.openxmlformats.org/officeDocument/2006/relationships/hyperlink" Target="https://pbs.twimg.com/media/DtzWXyLWoAEQ5PM.jpg" TargetMode="External"/><Relationship Id="rId1221" Type="http://schemas.openxmlformats.org/officeDocument/2006/relationships/hyperlink" Target="https://twitter.com/JotDownSpain/status/1070992476876521472" TargetMode="External"/><Relationship Id="rId1666" Type="http://schemas.openxmlformats.org/officeDocument/2006/relationships/hyperlink" Target="https://www.libertaddigital.com/espana/2018-12-04/carta-de-un-rojo-andaluz-a-pablo-iglesias-cuando-usted-predica-sobriedad-pero-se-compra-un-chale-nace-un-fascista-1276629342/" TargetMode="External"/><Relationship Id="rId1873" Type="http://schemas.openxmlformats.org/officeDocument/2006/relationships/hyperlink" Target="https://www.periodistadigital.com/periodismo/prensa/2018/12/07/payasada-casposa-podemos-cuelan-logo-republica-marca-champu-wella-balsam-pablo-iglesias.shtml" TargetMode="External"/><Relationship Id="rId1319" Type="http://schemas.openxmlformats.org/officeDocument/2006/relationships/hyperlink" Target="http://www.interaval.es/" TargetMode="External"/><Relationship Id="rId1526" Type="http://schemas.openxmlformats.org/officeDocument/2006/relationships/hyperlink" Target="https://blogjkeats.wordpress.com/" TargetMode="External"/><Relationship Id="rId1733" Type="http://schemas.openxmlformats.org/officeDocument/2006/relationships/hyperlink" Target="https://twitter.com/nolicus2000/status/1070976647371898880" TargetMode="External"/><Relationship Id="rId1940" Type="http://schemas.openxmlformats.org/officeDocument/2006/relationships/hyperlink" Target="http://www.periodistadigital.com/periodismo/prensa/2018/12/07/payasada-casposa-podemos-cuelan-logo-republica-marca-champu-wella-balsam-pablo-iglesias.shtml" TargetMode="External"/><Relationship Id="rId25" Type="http://schemas.openxmlformats.org/officeDocument/2006/relationships/hyperlink" Target="http://360disruptive.com/" TargetMode="External"/><Relationship Id="rId1800" Type="http://schemas.openxmlformats.org/officeDocument/2006/relationships/hyperlink" Target="https://www.elmundo.es/baleares/2018/12/07/5c0a31e8fc6c83ee428b45c5.html" TargetMode="External"/><Relationship Id="rId174" Type="http://schemas.openxmlformats.org/officeDocument/2006/relationships/hyperlink" Target="http://www.opinionydebate.es/" TargetMode="External"/><Relationship Id="rId381" Type="http://schemas.openxmlformats.org/officeDocument/2006/relationships/hyperlink" Target="https://pbs.twimg.com/media/Dt46UAWW0AAuAel.jpg" TargetMode="External"/><Relationship Id="rId2062" Type="http://schemas.openxmlformats.org/officeDocument/2006/relationships/hyperlink" Target="https://twitter.com/infiltradoxxx/status/1070783826413129729" TargetMode="External"/><Relationship Id="rId241" Type="http://schemas.openxmlformats.org/officeDocument/2006/relationships/hyperlink" Target="http://www.periodistadigital.com/" TargetMode="External"/><Relationship Id="rId479" Type="http://schemas.openxmlformats.org/officeDocument/2006/relationships/hyperlink" Target="https://www.abc.es/estilo/gente/abci-twitter-fran-rivera-llama-golfo-pablo-iglesias-tras-elecciones-andaluzas-201812041148_noticia.html" TargetMode="External"/><Relationship Id="rId686" Type="http://schemas.openxmlformats.org/officeDocument/2006/relationships/hyperlink" Target="https://www.facebook.com/groups/1523383624657240/?fref=nf" TargetMode="External"/><Relationship Id="rId893" Type="http://schemas.openxmlformats.org/officeDocument/2006/relationships/hyperlink" Target="http://pic.twitter.com/vx7cjx3OXP" TargetMode="External"/><Relationship Id="rId2367" Type="http://schemas.openxmlformats.org/officeDocument/2006/relationships/hyperlink" Target="https://elpais.com/politica/2018/12/06/actualidad/1544100381_203267.html?id_externo_rsoc=TW_CC" TargetMode="External"/><Relationship Id="rId339" Type="http://schemas.openxmlformats.org/officeDocument/2006/relationships/hyperlink" Target="http://ramblalibre.com/2018/12/08/iglesias/" TargetMode="External"/><Relationship Id="rId546" Type="http://schemas.openxmlformats.org/officeDocument/2006/relationships/hyperlink" Target="https://blogs.publico.es/dominiopublico/27340/carta-al-tipo-que-mando-una-carta-a-pablo-iglesias/" TargetMode="External"/><Relationship Id="rId753" Type="http://schemas.openxmlformats.org/officeDocument/2006/relationships/hyperlink" Target="https://casoaislado.com/la-incitacion-al-odio-contra-vox-de-pablo-iglesias-deja-sus-primeras-victimas-dos-afiliados-son-agredidos-en-murcia/" TargetMode="External"/><Relationship Id="rId1176" Type="http://schemas.openxmlformats.org/officeDocument/2006/relationships/hyperlink" Target="http://www.huffingtonpost.es/" TargetMode="External"/><Relationship Id="rId1383" Type="http://schemas.openxmlformats.org/officeDocument/2006/relationships/hyperlink" Target="https://pbs.twimg.com/media/Dt0h0E1XcAAsMCv.jpg" TargetMode="External"/><Relationship Id="rId2227" Type="http://schemas.openxmlformats.org/officeDocument/2006/relationships/hyperlink" Target="http://lrzn.es/hkasn2" TargetMode="External"/><Relationship Id="rId2434" Type="http://schemas.openxmlformats.org/officeDocument/2006/relationships/hyperlink" Target="http://pic.twitter.com/4tOjyMcykU" TargetMode="External"/><Relationship Id="rId101" Type="http://schemas.openxmlformats.org/officeDocument/2006/relationships/hyperlink" Target="http://dlvr.it/Qt83qH" TargetMode="External"/><Relationship Id="rId406" Type="http://schemas.openxmlformats.org/officeDocument/2006/relationships/hyperlink" Target="https://pbs.twimg.com/media/Dtzty03XQAU4gqI.jpg" TargetMode="External"/><Relationship Id="rId960" Type="http://schemas.openxmlformats.org/officeDocument/2006/relationships/hyperlink" Target="https://www.huffingtonpost.es/2018/12/07/el-dardo-de-bertin-osborne-a-gabriel-rufian-y-pablo-iglesias-espana-es-el-pais-con-mas-politicos-idiotas-por-metro-cuadrado_a_23611885/?ncid=other_twitter_cooo9wqtham&amp;utm_campaign=share_twitter" TargetMode="External"/><Relationship Id="rId1036" Type="http://schemas.openxmlformats.org/officeDocument/2006/relationships/hyperlink" Target="https://casoaislado.com/la-incitacion-al-odio-contra-vox-de-pablo-iglesias-deja-sus-primeras-victimas-dos-afiliados-son-agredidos-en-murcia/" TargetMode="External"/><Relationship Id="rId1243" Type="http://schemas.openxmlformats.org/officeDocument/2006/relationships/hyperlink" Target="http://www.lasvocesdelpueblo.com/" TargetMode="External"/><Relationship Id="rId1590" Type="http://schemas.openxmlformats.org/officeDocument/2006/relationships/hyperlink" Target="https://www.elmundo.es/baleares/2018/12/07/5c0a31e8fc6c83ee428b45c5.html" TargetMode="External"/><Relationship Id="rId1688" Type="http://schemas.openxmlformats.org/officeDocument/2006/relationships/hyperlink" Target="http://kandpalleiro.blogspot.com/" TargetMode="External"/><Relationship Id="rId1895" Type="http://schemas.openxmlformats.org/officeDocument/2006/relationships/hyperlink" Target="https://pbs.twimg.com/media/DtzFovPWoAA42NH.jpg" TargetMode="External"/><Relationship Id="rId613" Type="http://schemas.openxmlformats.org/officeDocument/2006/relationships/hyperlink" Target="https://goo.gl/LgNNqq?cqu31=8277049210" TargetMode="External"/><Relationship Id="rId820" Type="http://schemas.openxmlformats.org/officeDocument/2006/relationships/hyperlink" Target="https://www.youtube.com/c/CharlieSwatX" TargetMode="External"/><Relationship Id="rId918" Type="http://schemas.openxmlformats.org/officeDocument/2006/relationships/hyperlink" Target="https://youtu.be/FtneF4emyhA" TargetMode="External"/><Relationship Id="rId1450" Type="http://schemas.openxmlformats.org/officeDocument/2006/relationships/hyperlink" Target="https://www.esdiario.com/781025410/Pablo-Iglesias-se-desespera-al-quedarse-solo-en-su-caceria-al-Rey-Juan-Carlos.html" TargetMode="External"/><Relationship Id="rId1548" Type="http://schemas.openxmlformats.org/officeDocument/2006/relationships/hyperlink" Target="https://twitter.com/schuma78/status/1070999672238587905" TargetMode="External"/><Relationship Id="rId1755" Type="http://schemas.openxmlformats.org/officeDocument/2006/relationships/hyperlink" Target="http://www.antena3.com/noticias/" TargetMode="External"/><Relationship Id="rId2501" Type="http://schemas.openxmlformats.org/officeDocument/2006/relationships/hyperlink" Target="https://bit.ly/2AWCAnD" TargetMode="External"/><Relationship Id="rId1103" Type="http://schemas.openxmlformats.org/officeDocument/2006/relationships/hyperlink" Target="https://www.mediterraneodigital.com/espana/comunidad-de-madrid/pablo-iglesias-me-da-vergueenza-como-espanol-que-exista-vox.html" TargetMode="External"/><Relationship Id="rId1310" Type="http://schemas.openxmlformats.org/officeDocument/2006/relationships/hyperlink" Target="https://twitter.com/hermanntertsch/status/1071042034797035520" TargetMode="External"/><Relationship Id="rId1408" Type="http://schemas.openxmlformats.org/officeDocument/2006/relationships/hyperlink" Target="https://okdiario.com/espana/2018/12/07/iglesias-da-razon-abascal-derecho-portar-armas-bases-democracia-3438627?utm_campaign=inda&amp;utm_medium=Social&amp;utm_source=Twitter" TargetMode="External"/><Relationship Id="rId1962" Type="http://schemas.openxmlformats.org/officeDocument/2006/relationships/hyperlink" Target="https://twitter.com/ldpsincomplejos/status/1070646760383676418" TargetMode="External"/><Relationship Id="rId47" Type="http://schemas.openxmlformats.org/officeDocument/2006/relationships/hyperlink" Target="https://www.marca.com/tiramillas/actualidad/2018/12/08/5c0bb52022601dd0208b465d.html" TargetMode="External"/><Relationship Id="rId1615" Type="http://schemas.openxmlformats.org/officeDocument/2006/relationships/hyperlink" Target="https://www.laverdad.es/murcia/miembros-denuncian-haber-20181207005415-ntvo.html" TargetMode="External"/><Relationship Id="rId1822" Type="http://schemas.openxmlformats.org/officeDocument/2006/relationships/hyperlink" Target="https://m.eldiario.es/politica/Pablo-Iglesias-contrapone-republicanismo-feminista_0_843416120.html" TargetMode="External"/><Relationship Id="rId196" Type="http://schemas.openxmlformats.org/officeDocument/2006/relationships/hyperlink" Target="https://www.facebook.com/pages/Espa%C3%B1oles-y-Venezolanos-Anti-Podemos/885396501484393?sk=timeline" TargetMode="External"/><Relationship Id="rId2084" Type="http://schemas.openxmlformats.org/officeDocument/2006/relationships/hyperlink" Target="https://pbs.twimg.com/media/DtxWNkcXQAAHHBR.jpg" TargetMode="External"/><Relationship Id="rId2291" Type="http://schemas.openxmlformats.org/officeDocument/2006/relationships/hyperlink" Target="https://pbs.twimg.com/media/Dtu7vnUWwAAlvHV.jpg" TargetMode="External"/><Relationship Id="rId263" Type="http://schemas.openxmlformats.org/officeDocument/2006/relationships/hyperlink" Target="http://facebook.com/Alviseperez" TargetMode="External"/><Relationship Id="rId470" Type="http://schemas.openxmlformats.org/officeDocument/2006/relationships/hyperlink" Target="http://www.elmundo.es/loc/famosos/2018/12/08/5c0a3ffffc6c8320198b45e5.html" TargetMode="External"/><Relationship Id="rId2151" Type="http://schemas.openxmlformats.org/officeDocument/2006/relationships/hyperlink" Target="https://www.lainformacion.com/espana/aniversario-consitucion-pablo-iglesias-no-salud-reyes-congreso/6456455" TargetMode="External"/><Relationship Id="rId2389" Type="http://schemas.openxmlformats.org/officeDocument/2006/relationships/hyperlink" Target="https://pbs.twimg.com/media/DtwrtYcXcAAgZVj.jpg" TargetMode="External"/><Relationship Id="rId123" Type="http://schemas.openxmlformats.org/officeDocument/2006/relationships/hyperlink" Target="http://todoescasiposible.blogspot.com/" TargetMode="External"/><Relationship Id="rId330" Type="http://schemas.openxmlformats.org/officeDocument/2006/relationships/hyperlink" Target="https://eldebate.es/politica-de-estado/las-4-menciones-a-espana-que-podemos-borro-del-discurso-de-pablo-iglesias-tras-el-2-d-20181207" TargetMode="External"/><Relationship Id="rId568" Type="http://schemas.openxmlformats.org/officeDocument/2006/relationships/hyperlink" Target="https://blogs.publico.es/dominiopublico/27340/carta-al-tipo-que-mando-una-carta-a-pablo-iglesias/" TargetMode="External"/><Relationship Id="rId775" Type="http://schemas.openxmlformats.org/officeDocument/2006/relationships/hyperlink" Target="http://informaticapaco.blogspots.com/" TargetMode="External"/><Relationship Id="rId982" Type="http://schemas.openxmlformats.org/officeDocument/2006/relationships/hyperlink" Target="https://pbs.twimg.com/media/Dt1z-rtW0AANlzm.jpg" TargetMode="External"/><Relationship Id="rId1198" Type="http://schemas.openxmlformats.org/officeDocument/2006/relationships/hyperlink" Target="https://ino.to/dmatU-Y" TargetMode="External"/><Relationship Id="rId2011" Type="http://schemas.openxmlformats.org/officeDocument/2006/relationships/hyperlink" Target="http://youtu.be/3eLKQ-zSPsk?a" TargetMode="External"/><Relationship Id="rId2249" Type="http://schemas.openxmlformats.org/officeDocument/2006/relationships/hyperlink" Target="https://www.ecorepublicano.es/2018/12/el-torero-fran-rivera-apoya-vox-y.html" TargetMode="External"/><Relationship Id="rId2456" Type="http://schemas.openxmlformats.org/officeDocument/2006/relationships/hyperlink" Target="https://www.mundojuridico.info/el-delito-de-odio/" TargetMode="External"/><Relationship Id="rId428" Type="http://schemas.openxmlformats.org/officeDocument/2006/relationships/hyperlink" Target="http://ramblalibre.com/2018/12/03/carta-a-pablo-iglesias-a-cagar-a-galapagar-el-fascista-eres-tu/" TargetMode="External"/><Relationship Id="rId635" Type="http://schemas.openxmlformats.org/officeDocument/2006/relationships/hyperlink" Target="https://twitter.com/pnique/status/1070344137008918528" TargetMode="External"/><Relationship Id="rId842" Type="http://schemas.openxmlformats.org/officeDocument/2006/relationships/hyperlink" Target="https://eldebate.es/politica-de-estado/las-4-menciones-a-espana-que-podemos-borro-del-discurso-de-pablo-iglesias-tras-el-2-d-20181207" TargetMode="External"/><Relationship Id="rId1058" Type="http://schemas.openxmlformats.org/officeDocument/2006/relationships/hyperlink" Target="https://twitter.com/RIVAS_Llanera/status/1071017610152738817" TargetMode="External"/><Relationship Id="rId1265" Type="http://schemas.openxmlformats.org/officeDocument/2006/relationships/hyperlink" Target="http://www.dilfredoruiz.blogspot.com/" TargetMode="External"/><Relationship Id="rId1472" Type="http://schemas.openxmlformats.org/officeDocument/2006/relationships/hyperlink" Target="https://okdiario.com/espana/2018/12/07/iglesias-da-razon-abascal-derecho-portar-armas-bases-democracia-3438627" TargetMode="External"/><Relationship Id="rId2109" Type="http://schemas.openxmlformats.org/officeDocument/2006/relationships/hyperlink" Target="https://twitter.com/jmdelalamo/status/1070674475925016576" TargetMode="External"/><Relationship Id="rId2316" Type="http://schemas.openxmlformats.org/officeDocument/2006/relationships/hyperlink" Target="http://pic.twitter.com/nmP4oC0nYZ" TargetMode="External"/><Relationship Id="rId2523" Type="http://schemas.openxmlformats.org/officeDocument/2006/relationships/hyperlink" Target="https://m.eldiario.es/politica/falso-mito-Transicion-incruenta_0_843066416.html" TargetMode="External"/><Relationship Id="rId702" Type="http://schemas.openxmlformats.org/officeDocument/2006/relationships/hyperlink" Target="http://youtu.be/hm-DNijFbYk?a" TargetMode="External"/><Relationship Id="rId1125" Type="http://schemas.openxmlformats.org/officeDocument/2006/relationships/hyperlink" Target="https://goo.gl/nEe2ZV?mck14=2673282469" TargetMode="External"/><Relationship Id="rId1332" Type="http://schemas.openxmlformats.org/officeDocument/2006/relationships/hyperlink" Target="https://pbs.twimg.com/media/Dt0qyioXcAEDGUn.jpg" TargetMode="External"/><Relationship Id="rId1777" Type="http://schemas.openxmlformats.org/officeDocument/2006/relationships/hyperlink" Target="http://www.elsebas.net/" TargetMode="External"/><Relationship Id="rId1984" Type="http://schemas.openxmlformats.org/officeDocument/2006/relationships/hyperlink" Target="https://elpais.com/politica/2018/12/06/actualidad/1544100381_203267.html" TargetMode="External"/><Relationship Id="rId69" Type="http://schemas.openxmlformats.org/officeDocument/2006/relationships/hyperlink" Target="https://www.elespanol.com/espana/politica/20181208/errejon-recuperara-bandera-espanola-podemos-francia-envidia/358965067_0.html" TargetMode="External"/><Relationship Id="rId1637" Type="http://schemas.openxmlformats.org/officeDocument/2006/relationships/hyperlink" Target="http://bit.ly/Porno-gratis" TargetMode="External"/><Relationship Id="rId1844" Type="http://schemas.openxmlformats.org/officeDocument/2006/relationships/hyperlink" Target="https://www.eldiario.es/politica/Pablo-Iglesias-contrapone-republicanismo-feminista_0_843416120.html" TargetMode="External"/><Relationship Id="rId1704" Type="http://schemas.openxmlformats.org/officeDocument/2006/relationships/hyperlink" Target="http://www.bitmomentum.com/" TargetMode="External"/><Relationship Id="rId285" Type="http://schemas.openxmlformats.org/officeDocument/2006/relationships/hyperlink" Target="http://disq.us/t/39bip7z" TargetMode="External"/><Relationship Id="rId1911" Type="http://schemas.openxmlformats.org/officeDocument/2006/relationships/hyperlink" Target="https://pbs.twimg.com/media/DtzA-r5WsAAw1by.jpg" TargetMode="External"/><Relationship Id="rId492" Type="http://schemas.openxmlformats.org/officeDocument/2006/relationships/hyperlink" Target="http://www.diarioalcazar.com/2018/12/pablo-iglesias-podria-ser-juzgado-por.html?m=1&amp;fbclid=IwAR1al_ERw5ptcsyWaRTawkQDclWKaKUFztnr0clMvLy2Ehbe7IXCubyuLrY" TargetMode="External"/><Relationship Id="rId797" Type="http://schemas.openxmlformats.org/officeDocument/2006/relationships/hyperlink" Target="http://www.huffingtonpost.es/" TargetMode="External"/><Relationship Id="rId2173" Type="http://schemas.openxmlformats.org/officeDocument/2006/relationships/hyperlink" Target="https://www.ecorepublicano.es/2018/12/el-torero-fran-rivera-apoya-vox-y.html?m=1" TargetMode="External"/><Relationship Id="rId2380" Type="http://schemas.openxmlformats.org/officeDocument/2006/relationships/hyperlink" Target="https://vimeo.com/user53402693" TargetMode="External"/><Relationship Id="rId2478" Type="http://schemas.openxmlformats.org/officeDocument/2006/relationships/hyperlink" Target="https://twitter.com/hermanntertsch/status/1070625337036455938" TargetMode="External"/><Relationship Id="rId145" Type="http://schemas.openxmlformats.org/officeDocument/2006/relationships/hyperlink" Target="https://jerseysdefutbol.com/" TargetMode="External"/><Relationship Id="rId352" Type="http://schemas.openxmlformats.org/officeDocument/2006/relationships/hyperlink" Target="https://youtu.be/-zFA9g24CAs" TargetMode="External"/><Relationship Id="rId1287" Type="http://schemas.openxmlformats.org/officeDocument/2006/relationships/hyperlink" Target="http://shr.gs/EiqgdvQ" TargetMode="External"/><Relationship Id="rId2033" Type="http://schemas.openxmlformats.org/officeDocument/2006/relationships/hyperlink" Target="https://okdiario.com/espana/2018/12/06/podemos-usa-como-logo-republica-imagen-disenada-peluquerias-3436295/amp" TargetMode="External"/><Relationship Id="rId2240" Type="http://schemas.openxmlformats.org/officeDocument/2006/relationships/hyperlink" Target="https://noticiasvenezuela.org/2018/12/06/carta-abierta-a-pablo-iglesias/" TargetMode="External"/><Relationship Id="rId212" Type="http://schemas.openxmlformats.org/officeDocument/2006/relationships/hyperlink" Target="https://www.elmundo.es/loc/famosos/2018/12/08/5c0a3ffffc6c8320198b45e5.html" TargetMode="External"/><Relationship Id="rId657" Type="http://schemas.openxmlformats.org/officeDocument/2006/relationships/hyperlink" Target="http://www.youtube.com/channel/UCT6Zy6dkQsfxARRlPOjbn0A" TargetMode="External"/><Relationship Id="rId864" Type="http://schemas.openxmlformats.org/officeDocument/2006/relationships/hyperlink" Target="http://bit.ly/2KXHrcO" TargetMode="External"/><Relationship Id="rId1494" Type="http://schemas.openxmlformats.org/officeDocument/2006/relationships/hyperlink" Target="https://www.eldiario.es/politica/Pablo-Iglesias-contrapone-republicanismo-feminista_0_843416120.html" TargetMode="External"/><Relationship Id="rId1799" Type="http://schemas.openxmlformats.org/officeDocument/2006/relationships/hyperlink" Target="https://pbs.twimg.com/media/DtumWquWwAE07nM.jpg" TargetMode="External"/><Relationship Id="rId2100" Type="http://schemas.openxmlformats.org/officeDocument/2006/relationships/hyperlink" Target="https://twitter.com/darthvaderatm/status/1069918465534898176" TargetMode="External"/><Relationship Id="rId2338" Type="http://schemas.openxmlformats.org/officeDocument/2006/relationships/hyperlink" Target="https://elpais.com/politica/2018/11/28/actualidad/1543424221_050040.html" TargetMode="External"/><Relationship Id="rId2545" Type="http://schemas.openxmlformats.org/officeDocument/2006/relationships/hyperlink" Target="http://ignaciopozo.com/" TargetMode="External"/><Relationship Id="rId517" Type="http://schemas.openxmlformats.org/officeDocument/2006/relationships/hyperlink" Target="https://goo.gl/fkGPVo" TargetMode="External"/><Relationship Id="rId724" Type="http://schemas.openxmlformats.org/officeDocument/2006/relationships/hyperlink" Target="http://africanpower777.land.giracoin-bank.com/" TargetMode="External"/><Relationship Id="rId931" Type="http://schemas.openxmlformats.org/officeDocument/2006/relationships/hyperlink" Target="https://www.huffingtonpost.es/2018/12/07/el-dardo-de-bertin-osborne-a-gabriel-rufian-y-pablo-iglesias-espana-es-el-pais-con-mas-politicos-idiotas-por-metro-cuadrado_a_23611885/?ncid=other_twitter_cooo9wqtham&amp;utm_campaign=share_twitter" TargetMode="External"/><Relationship Id="rId1147" Type="http://schemas.openxmlformats.org/officeDocument/2006/relationships/hyperlink" Target="https://www.huffingtonpost.es/2018/12/05/el-48-de-los-espanoles-prefiere-que-espana-sea-una-republica_a_23609576/" TargetMode="External"/><Relationship Id="rId1354" Type="http://schemas.openxmlformats.org/officeDocument/2006/relationships/hyperlink" Target="https://youtu.be/3RkLe1Z7hp4" TargetMode="External"/><Relationship Id="rId1561" Type="http://schemas.openxmlformats.org/officeDocument/2006/relationships/hyperlink" Target="https://twitter.com/Miguel11065988/status/1070551816381874176" TargetMode="External"/><Relationship Id="rId2405" Type="http://schemas.openxmlformats.org/officeDocument/2006/relationships/hyperlink" Target="http://mulillero.blogspot.com.es/" TargetMode="External"/><Relationship Id="rId60" Type="http://schemas.openxmlformats.org/officeDocument/2006/relationships/hyperlink" Target="https://www.instagram.com/pmachucal/" TargetMode="External"/><Relationship Id="rId1007" Type="http://schemas.openxmlformats.org/officeDocument/2006/relationships/hyperlink" Target="http://www.diarioalcazar.com/2018/12/pablo-iglesias-podria-ser-juzgado-por.html" TargetMode="External"/><Relationship Id="rId1214" Type="http://schemas.openxmlformats.org/officeDocument/2006/relationships/hyperlink" Target="http://luislasala07.blogspot.com/" TargetMode="External"/><Relationship Id="rId1421" Type="http://schemas.openxmlformats.org/officeDocument/2006/relationships/hyperlink" Target="http://agorafutura.wordpress.com/" TargetMode="External"/><Relationship Id="rId1659" Type="http://schemas.openxmlformats.org/officeDocument/2006/relationships/hyperlink" Target="https://pbs.twimg.com/media/DtwyXa-XgAUp61t.jpg" TargetMode="External"/><Relationship Id="rId1866" Type="http://schemas.openxmlformats.org/officeDocument/2006/relationships/hyperlink" Target="http://unpobrecitohablador.tumblr.com/" TargetMode="External"/><Relationship Id="rId1519" Type="http://schemas.openxmlformats.org/officeDocument/2006/relationships/hyperlink" Target="https://www.facebook.com/marisolsebastiana/posts/10210567166250513" TargetMode="External"/><Relationship Id="rId1726" Type="http://schemas.openxmlformats.org/officeDocument/2006/relationships/hyperlink" Target="https://twitter.com/Pablito_Pablera/status/1070430839585026048" TargetMode="External"/><Relationship Id="rId1933" Type="http://schemas.openxmlformats.org/officeDocument/2006/relationships/hyperlink" Target="https://pbs.twimg.com/media/Dty85z4WoAAdWBP.jpg" TargetMode="External"/><Relationship Id="rId18" Type="http://schemas.openxmlformats.org/officeDocument/2006/relationships/hyperlink" Target="http://africanpower777.land.giracoin-bank.com/" TargetMode="External"/><Relationship Id="rId2195" Type="http://schemas.openxmlformats.org/officeDocument/2006/relationships/hyperlink" Target="https://elpais.com/politica/2018/12/06/actualidad/1544100381_203267.html?id_externo_rsoc=TW_CC" TargetMode="External"/><Relationship Id="rId167" Type="http://schemas.openxmlformats.org/officeDocument/2006/relationships/hyperlink" Target="https://israelorientemedio.blog/" TargetMode="External"/><Relationship Id="rId374" Type="http://schemas.openxmlformats.org/officeDocument/2006/relationships/hyperlink" Target="http://atlantenachel.jimdo.com/" TargetMode="External"/><Relationship Id="rId581" Type="http://schemas.openxmlformats.org/officeDocument/2006/relationships/hyperlink" Target="https://www.lasvocesdelpueblo.com/cdr-y-ultraizquierda-de-pablo-iglesias-atropellan-y-arrastran-a-un-vecino-de-terrasa-por-la-rambla/" TargetMode="External"/><Relationship Id="rId2055" Type="http://schemas.openxmlformats.org/officeDocument/2006/relationships/hyperlink" Target="https://www.20minutos.es/noticia/3508831/0/carta-viral-abierta-andaluz-medico-pablo-iglesias-cuando-usted-predica-pobreza-pero-compra-chale-nace-fascista-elecciones-andalucia-2018-podemos-vox/?utm_source=facebook.com&amp;utm_medium=socialshare&amp;utm_campaign=mobile_amp" TargetMode="External"/><Relationship Id="rId2262" Type="http://schemas.openxmlformats.org/officeDocument/2006/relationships/hyperlink" Target="https://www.facebook.com/1515069555414575/posts/2162595053995352/" TargetMode="External"/><Relationship Id="rId234" Type="http://schemas.openxmlformats.org/officeDocument/2006/relationships/hyperlink" Target="https://pbs.twimg.com/media/Dt5U9zRV4AAdrbw.jpg" TargetMode="External"/><Relationship Id="rId679" Type="http://schemas.openxmlformats.org/officeDocument/2006/relationships/hyperlink" Target="https://twitter.com/Miotroyo2parte/status/1071131909990875136" TargetMode="External"/><Relationship Id="rId886" Type="http://schemas.openxmlformats.org/officeDocument/2006/relationships/hyperlink" Target="https://www.huffingtonpost.es/2018/12/07/el-dardo-de-bertin-osborne-a-gabriel-rufian-y-pablo-iglesias-espana-es-el-pais-con-mas-politicos-idiotas-por-metro-cuadrado_a_23611885/?ncid=other_twitter_cooo9wqtham&amp;utm_campaign=share_twitter" TargetMode="External"/><Relationship Id="rId2567" Type="http://schemas.openxmlformats.org/officeDocument/2006/relationships/hyperlink" Target="https://pbs.twimg.com/media/DtwXSm-WsAAFLmt.jpg" TargetMode="External"/><Relationship Id="rId2" Type="http://schemas.openxmlformats.org/officeDocument/2006/relationships/hyperlink" Target="http://www.ppmadrid.es/" TargetMode="External"/><Relationship Id="rId441" Type="http://schemas.openxmlformats.org/officeDocument/2006/relationships/hyperlink" Target="https://blogs.publico.es/dominiopublico/27340/carta-al-tipo-que-mando-una-carta-a-pablo-iglesias/" TargetMode="External"/><Relationship Id="rId539" Type="http://schemas.openxmlformats.org/officeDocument/2006/relationships/hyperlink" Target="https://pbs.twimg.com/media/Dt4c5QgWwAATCk3.jpg" TargetMode="External"/><Relationship Id="rId746" Type="http://schemas.openxmlformats.org/officeDocument/2006/relationships/hyperlink" Target="https://www.change.org/p/ministerio-de-justicia-pena-de-prisi%C3%B3n-de-1-a-4-a%C3%B1os-para-pablo-iglesias-por-delito-de-odio?recruiter=87271446&amp;utm_source=share_petition&amp;utm_medium=twitter&amp;utm_campaign=psf_combo_share_initial.pacific_email_copy_en_gb_4.v1.pacific_email_copy_en_us_5.v1.pacific_email_copy_en_us_3.control.pacific_post_sap_share_gmail_abi.control.lightning_2primary_share_options_more.control&amp;utm_term=psf_combo_share_initial.pacific_email_copy_en_us_3.control.pacific_email_copy_en_us_5.v1.pacific_email_copy_en_gb_4.v1.pacific_post_sap_share_gmail_abi.control.lightning_2primary_share_options_more.variant" TargetMode="External"/><Relationship Id="rId1071" Type="http://schemas.openxmlformats.org/officeDocument/2006/relationships/hyperlink" Target="https://www.elespanol.com/espana/tribunales/20181207/cgpj-impunidad-ataques-cataluna-proteccion-marlaska-buch/358964968_0.html" TargetMode="External"/><Relationship Id="rId1169" Type="http://schemas.openxmlformats.org/officeDocument/2006/relationships/hyperlink" Target="http://pic.twitter.com/Tr1z2urQKZ" TargetMode="External"/><Relationship Id="rId1376" Type="http://schemas.openxmlformats.org/officeDocument/2006/relationships/hyperlink" Target="https://twitter.com/perezreverte/status/1071045025642020869" TargetMode="External"/><Relationship Id="rId1583" Type="http://schemas.openxmlformats.org/officeDocument/2006/relationships/hyperlink" Target="https://pbs.twimg.com/media/Dtz9Og2W4AMQDlD.jpg" TargetMode="External"/><Relationship Id="rId2122" Type="http://schemas.openxmlformats.org/officeDocument/2006/relationships/hyperlink" Target="https://youtu.be/12Qr1C18reM" TargetMode="External"/><Relationship Id="rId2427" Type="http://schemas.openxmlformats.org/officeDocument/2006/relationships/hyperlink" Target="http://eldiario.es/" TargetMode="External"/><Relationship Id="rId301" Type="http://schemas.openxmlformats.org/officeDocument/2006/relationships/hyperlink" Target="http://line.me/ti/p/~avefenix43" TargetMode="External"/><Relationship Id="rId953" Type="http://schemas.openxmlformats.org/officeDocument/2006/relationships/hyperlink" Target="https://twitter.com/Santi_ABASCAL/status/1069722798074068992" TargetMode="External"/><Relationship Id="rId1029" Type="http://schemas.openxmlformats.org/officeDocument/2006/relationships/hyperlink" Target="https://pbs.twimg.com/media/Dtkuw5oXcAIO9xZ.jpg" TargetMode="External"/><Relationship Id="rId1236" Type="http://schemas.openxmlformats.org/officeDocument/2006/relationships/hyperlink" Target="https://www.youtube.com/channel/UCGQFDQaixBPTYtYENzhaFvA" TargetMode="External"/><Relationship Id="rId1790" Type="http://schemas.openxmlformats.org/officeDocument/2006/relationships/hyperlink" Target="https://pbs.twimg.com/media/DtzWha-WwAAAvR7.jpg" TargetMode="External"/><Relationship Id="rId1888" Type="http://schemas.openxmlformats.org/officeDocument/2006/relationships/hyperlink" Target="https://www.mediterraneodigital.com/espana/comunidad-de-madrid/pablo-iglesias-me-da-vergueenza-como-espanol-que-exista-vox.html" TargetMode="External"/><Relationship Id="rId82" Type="http://schemas.openxmlformats.org/officeDocument/2006/relationships/hyperlink" Target="https://www.facebook.com/Credit-Repair-in-Connecticut-1808460459377096/" TargetMode="External"/><Relationship Id="rId606" Type="http://schemas.openxmlformats.org/officeDocument/2006/relationships/hyperlink" Target="https://www.hispanidad.com/la-semana-en-imagenes/la-semana-en-imagenes-la-ultima-horterada-de-pablo-iglesias-consiste-en-solicitar-fraternidad_12006073_102.html?utm_source=Twitter&amp;utm_medium=Social&amp;utm_content=Post" TargetMode="External"/><Relationship Id="rId813" Type="http://schemas.openxmlformats.org/officeDocument/2006/relationships/hyperlink" Target="https://www.elcorreodemadrid.com/nacional/44860553/El-Congreso-aplaude-al-Rey-y-deja-en-ridiculo-a-Pablo-Iglesias.html" TargetMode="External"/><Relationship Id="rId1443" Type="http://schemas.openxmlformats.org/officeDocument/2006/relationships/hyperlink" Target="http://www.premiumrate.pt/" TargetMode="External"/><Relationship Id="rId1650" Type="http://schemas.openxmlformats.org/officeDocument/2006/relationships/hyperlink" Target="http://shr.gs/cclTt6j" TargetMode="External"/><Relationship Id="rId1748" Type="http://schemas.openxmlformats.org/officeDocument/2006/relationships/hyperlink" Target="https://www.periodistadigital.com/periodismo/prensa/2018/12/07/payasada-casposa-podemos-cuelan-logo-republica-marca-champu-wella-balsam-pablo-iglesias.shtml" TargetMode="External"/><Relationship Id="rId1303" Type="http://schemas.openxmlformats.org/officeDocument/2006/relationships/hyperlink" Target="http://shr.gs/UKQASjW" TargetMode="External"/><Relationship Id="rId1510" Type="http://schemas.openxmlformats.org/officeDocument/2006/relationships/hyperlink" Target="https://twitter.com/Pablo_Iglesias_/status/1070362164437778433" TargetMode="External"/><Relationship Id="rId1955" Type="http://schemas.openxmlformats.org/officeDocument/2006/relationships/hyperlink" Target="https://www.periodistadigital.com/politica/partidos-politicos/2018/12/06/un-converso-al-islam-un-analfabeto-un-cocinero-de-paellas-los-estrafalarios-rivales-de-pablo-iglesias-en-podemos.shtml" TargetMode="External"/><Relationship Id="rId1608" Type="http://schemas.openxmlformats.org/officeDocument/2006/relationships/hyperlink" Target="https://twitter.com/Estrell82754510/status/1070989186545672192" TargetMode="External"/><Relationship Id="rId1815" Type="http://schemas.openxmlformats.org/officeDocument/2006/relationships/hyperlink" Target="https://pbs.twimg.com/media/DtzSnCSWoAAT8hl.jpg" TargetMode="External"/><Relationship Id="rId189" Type="http://schemas.openxmlformats.org/officeDocument/2006/relationships/hyperlink" Target="http://chng.it/LB2RtB7W" TargetMode="External"/><Relationship Id="rId396" Type="http://schemas.openxmlformats.org/officeDocument/2006/relationships/hyperlink" Target="https://twitter.com/LibertadTV_/status/1070303678463119360" TargetMode="External"/><Relationship Id="rId2077" Type="http://schemas.openxmlformats.org/officeDocument/2006/relationships/hyperlink" Target="https://www.instagram.com/sevilladecadente" TargetMode="External"/><Relationship Id="rId2284" Type="http://schemas.openxmlformats.org/officeDocument/2006/relationships/hyperlink" Target="https://pbs.twimg.com/media/Dtw4WJwWkAAoJjg.jpg" TargetMode="External"/><Relationship Id="rId2491" Type="http://schemas.openxmlformats.org/officeDocument/2006/relationships/hyperlink" Target="https://youtu.be/h33mwcksVCQ" TargetMode="External"/><Relationship Id="rId256" Type="http://schemas.openxmlformats.org/officeDocument/2006/relationships/hyperlink" Target="https://www.facebook.com/victoriandres/videos/10218309933485499/" TargetMode="External"/><Relationship Id="rId463" Type="http://schemas.openxmlformats.org/officeDocument/2006/relationships/hyperlink" Target="http://www.sierranoroeste.es/" TargetMode="External"/><Relationship Id="rId670" Type="http://schemas.openxmlformats.org/officeDocument/2006/relationships/hyperlink" Target="https://www.periodistadigital.com/ocio-y-cultura/gente/2018/12/08/bertin-osborne-hunde-miseria-pablo-iglesias-no-voto-muerto-borracho-vino.shtml" TargetMode="External"/><Relationship Id="rId1093" Type="http://schemas.openxmlformats.org/officeDocument/2006/relationships/hyperlink" Target="http://www.periodistadigital.com/periodismo/prensa/2018/12/07/payasada-casposa-podemos-cuelan-logo-republica-marca-champu-wella-balsam-pablo-iglesias.shtml" TargetMode="External"/><Relationship Id="rId2144" Type="http://schemas.openxmlformats.org/officeDocument/2006/relationships/hyperlink" Target="http://www.thetimes.co.uk/" TargetMode="External"/><Relationship Id="rId2351" Type="http://schemas.openxmlformats.org/officeDocument/2006/relationships/hyperlink" Target="https://pbs.twimg.com/media/DtwvzMdWoAUo2TY.jpg" TargetMode="External"/><Relationship Id="rId116" Type="http://schemas.openxmlformats.org/officeDocument/2006/relationships/hyperlink" Target="http://www.facebook.com/VenezuelaAmaElFutbol" TargetMode="External"/><Relationship Id="rId323" Type="http://schemas.openxmlformats.org/officeDocument/2006/relationships/hyperlink" Target="http://chng.it/NDPZ8wvN" TargetMode="External"/><Relationship Id="rId530" Type="http://schemas.openxmlformats.org/officeDocument/2006/relationships/hyperlink" Target="http://pic.twitter.com/5Rv54qxvWB" TargetMode="External"/><Relationship Id="rId768" Type="http://schemas.openxmlformats.org/officeDocument/2006/relationships/hyperlink" Target="https://goo.gl/1Gb7yh?lhk25=8724780812" TargetMode="External"/><Relationship Id="rId975" Type="http://schemas.openxmlformats.org/officeDocument/2006/relationships/hyperlink" Target="https://twitter.com/FatherTornices/status/1071138196086579200" TargetMode="External"/><Relationship Id="rId1160" Type="http://schemas.openxmlformats.org/officeDocument/2006/relationships/hyperlink" Target="http://www.huffingtonpost.es/" TargetMode="External"/><Relationship Id="rId1398" Type="http://schemas.openxmlformats.org/officeDocument/2006/relationships/hyperlink" Target="https://www.que.es/listas/asi-es-el-belen-que-incluye-desde-el-chalet-de-pablo-iglesias-a-susana-diaz-o-concursantes-de-ot.html" TargetMode="External"/><Relationship Id="rId2004" Type="http://schemas.openxmlformats.org/officeDocument/2006/relationships/hyperlink" Target="http://youtu.be/v2_qo6LMSsA?a" TargetMode="External"/><Relationship Id="rId2211" Type="http://schemas.openxmlformats.org/officeDocument/2006/relationships/hyperlink" Target="https://twitter.com/gllamazares/status/1070408761322455045" TargetMode="External"/><Relationship Id="rId2449" Type="http://schemas.openxmlformats.org/officeDocument/2006/relationships/hyperlink" Target="http://youtu.be/3eLKQ-zSPsk?a" TargetMode="External"/><Relationship Id="rId628" Type="http://schemas.openxmlformats.org/officeDocument/2006/relationships/hyperlink" Target="https://www.change.org/p/ministerio-de-justicia-pena-de-prisi%C3%B3n-de-1-a-4-a%C3%B1os-para-pablo-iglesias-por-delito-de-odio?recruiter=19344916&amp;utm_source=share_petition&amp;utm_medium=twitter&amp;utm_campaign=psf_combo_share_abi.pacific_email_copy_en_gb_4.v1.pacific_email_copy_en_us_5.v1.pacific_email_copy_en_us_3.control.pacific_post_sap_share_gmail_abi.control.lightning_2primary_share_options_more.control&amp;utm_term=share_petition" TargetMode="External"/><Relationship Id="rId835" Type="http://schemas.openxmlformats.org/officeDocument/2006/relationships/hyperlink" Target="https://www.huffingtonpost.es/2018/12/07/el-dardo-de-bertin-osborne-a-gabriel-rufian-y-pablo-iglesias-espana-es-el-pais-con-mas-politicos-idiotas-por-metro-cuadrado_a_23611885/?ncid=other_twitter_cooo9wqtham&amp;utm_campaign=share_twitter" TargetMode="External"/><Relationship Id="rId1258" Type="http://schemas.openxmlformats.org/officeDocument/2006/relationships/hyperlink" Target="http://lujuriacritica.blogspot.com.es/" TargetMode="External"/><Relationship Id="rId1465" Type="http://schemas.openxmlformats.org/officeDocument/2006/relationships/hyperlink" Target="http://t.me/ahoracantabria" TargetMode="External"/><Relationship Id="rId1672" Type="http://schemas.openxmlformats.org/officeDocument/2006/relationships/hyperlink" Target="http://pic.twitter.com/X8Fz4lY2Zp" TargetMode="External"/><Relationship Id="rId2309" Type="http://schemas.openxmlformats.org/officeDocument/2006/relationships/hyperlink" Target="https://pbs.twimg.com/media/Dtw09KuW4AEwY1K.jpg" TargetMode="External"/><Relationship Id="rId2516" Type="http://schemas.openxmlformats.org/officeDocument/2006/relationships/hyperlink" Target="https://es.iqos.com/" TargetMode="External"/><Relationship Id="rId1020" Type="http://schemas.openxmlformats.org/officeDocument/2006/relationships/hyperlink" Target="https://twitter.com/Miotroyo2parte/status/1071131909990875136" TargetMode="External"/><Relationship Id="rId1118" Type="http://schemas.openxmlformats.org/officeDocument/2006/relationships/hyperlink" Target="http://pic.twitter.com/Zw2IMFzV8Z" TargetMode="External"/><Relationship Id="rId1325" Type="http://schemas.openxmlformats.org/officeDocument/2006/relationships/hyperlink" Target="http://pic.twitter.com/gzSuuUTkcD" TargetMode="External"/><Relationship Id="rId1532" Type="http://schemas.openxmlformats.org/officeDocument/2006/relationships/hyperlink" Target="https://pbs.twimg.com/media/Dt0IvmRW0AAl4NF.jpg" TargetMode="External"/><Relationship Id="rId1977" Type="http://schemas.openxmlformats.org/officeDocument/2006/relationships/hyperlink" Target="https://www.esdiario.com/781025410/Pablo-Iglesias-se-desespera-al-quedarse-solo-en-su-caceria-al-Rey-Juan-Carlos.html" TargetMode="External"/><Relationship Id="rId902" Type="http://schemas.openxmlformats.org/officeDocument/2006/relationships/hyperlink" Target="https://casoaislado.com/la-incitacion-al-odio-contra-vox-de-pablo-iglesias-deja-sus-primeras-victimas-dos-afiliados-son-agredidos-en-murcia/" TargetMode="External"/><Relationship Id="rId1837" Type="http://schemas.openxmlformats.org/officeDocument/2006/relationships/hyperlink" Target="http://erosyarte.blogspot.com/" TargetMode="External"/><Relationship Id="rId31" Type="http://schemas.openxmlformats.org/officeDocument/2006/relationships/hyperlink" Target="http://youtu.be/N1TmMZQlth8?a" TargetMode="External"/><Relationship Id="rId2099" Type="http://schemas.openxmlformats.org/officeDocument/2006/relationships/hyperlink" Target="https://twitter.com/infiltradoxxx/status/1070783826413129729" TargetMode="External"/><Relationship Id="rId180" Type="http://schemas.openxmlformats.org/officeDocument/2006/relationships/hyperlink" Target="https://blogs.publico.es/dominiopublico/27340/carta-al-tipo-que-mando-una-carta-a-pablo-iglesias/" TargetMode="External"/><Relationship Id="rId278" Type="http://schemas.openxmlformats.org/officeDocument/2006/relationships/hyperlink" Target="http://ramblalibre.com/2018/12/08/carta-a-pablo-iglesias-eres-un-botarate-rancio-al-que-solo-votan-las-emporradas/" TargetMode="External"/><Relationship Id="rId1904" Type="http://schemas.openxmlformats.org/officeDocument/2006/relationships/hyperlink" Target="https://pbs.twimg.com/media/Dty-bMSXQAApm63.jpg" TargetMode="External"/><Relationship Id="rId485" Type="http://schemas.openxmlformats.org/officeDocument/2006/relationships/hyperlink" Target="http://pic.twitter.com/WWC32eyc2J" TargetMode="External"/><Relationship Id="rId692" Type="http://schemas.openxmlformats.org/officeDocument/2006/relationships/hyperlink" Target="https://pbs.twimg.com/media/Dt3yTQrWsAAB1D_.jpg" TargetMode="External"/><Relationship Id="rId2166" Type="http://schemas.openxmlformats.org/officeDocument/2006/relationships/hyperlink" Target="http://bellatrix-never-died.tumblr.com/" TargetMode="External"/><Relationship Id="rId2373" Type="http://schemas.openxmlformats.org/officeDocument/2006/relationships/hyperlink" Target="https://pbs.twimg.com/media/DtwuFY9WwAAkwEJ.jpg" TargetMode="External"/><Relationship Id="rId138" Type="http://schemas.openxmlformats.org/officeDocument/2006/relationships/hyperlink" Target="http://ow.ly/erZy30kdQEv" TargetMode="External"/><Relationship Id="rId345" Type="http://schemas.openxmlformats.org/officeDocument/2006/relationships/hyperlink" Target="https://www.periodistadigital.com/ocio-y-cultura/gente/2018/12/08/bertin-osborne-hunde-miseria-pablo-iglesias-no-voto-muerto-borracho-vino.shtml" TargetMode="External"/><Relationship Id="rId552" Type="http://schemas.openxmlformats.org/officeDocument/2006/relationships/hyperlink" Target="https://twitter.com/21_luky/status/1071321486865195008" TargetMode="External"/><Relationship Id="rId997" Type="http://schemas.openxmlformats.org/officeDocument/2006/relationships/hyperlink" Target="https://georgeorwell67.blogspot.com/" TargetMode="External"/><Relationship Id="rId1182" Type="http://schemas.openxmlformats.org/officeDocument/2006/relationships/hyperlink" Target="http://www.pv.ccoo.es/ensenanzapv" TargetMode="External"/><Relationship Id="rId2026" Type="http://schemas.openxmlformats.org/officeDocument/2006/relationships/hyperlink" Target="https://goo.gl/MUc9sh" TargetMode="External"/><Relationship Id="rId2233" Type="http://schemas.openxmlformats.org/officeDocument/2006/relationships/hyperlink" Target="https://twitter.com/lasvocesdelpue/status/1070739767489384450" TargetMode="External"/><Relationship Id="rId2440" Type="http://schemas.openxmlformats.org/officeDocument/2006/relationships/hyperlink" Target="http://www.lagacetadesalamanca.es/" TargetMode="External"/><Relationship Id="rId205" Type="http://schemas.openxmlformats.org/officeDocument/2006/relationships/hyperlink" Target="http://chng.it/GdZrjYsH" TargetMode="External"/><Relationship Id="rId412" Type="http://schemas.openxmlformats.org/officeDocument/2006/relationships/hyperlink" Target="https://blogs.publico.es/dominiopublico/27340/carta-al-tipo-que-mando-una-carta-a-pablo-iglesias/" TargetMode="External"/><Relationship Id="rId857" Type="http://schemas.openxmlformats.org/officeDocument/2006/relationships/hyperlink" Target="https://medium.com/@quilombosfera/" TargetMode="External"/><Relationship Id="rId1042" Type="http://schemas.openxmlformats.org/officeDocument/2006/relationships/hyperlink" Target="https://okdiario.com/espana/2018/12/06/pablo-iglesias-reivindica-republica-como-solucion-problemas-espana-3435080?utm_campaign=inda&amp;utm_medium=Social&amp;utm_source=Facebook" TargetMode="External"/><Relationship Id="rId1487" Type="http://schemas.openxmlformats.org/officeDocument/2006/relationships/hyperlink" Target="http://blogs.libertaddigital.com/enigmas-del-11-m/" TargetMode="External"/><Relationship Id="rId1694" Type="http://schemas.openxmlformats.org/officeDocument/2006/relationships/hyperlink" Target="https://www.facebook.com/100000998480837/posts/2055889434454319/" TargetMode="External"/><Relationship Id="rId2300" Type="http://schemas.openxmlformats.org/officeDocument/2006/relationships/hyperlink" Target="https://youtu.be/7LzYOPmLX08" TargetMode="External"/><Relationship Id="rId2538" Type="http://schemas.openxmlformats.org/officeDocument/2006/relationships/hyperlink" Target="http://pic.twitter.com/20yF6WPkHy" TargetMode="External"/><Relationship Id="rId717" Type="http://schemas.openxmlformats.org/officeDocument/2006/relationships/hyperlink" Target="http://youtu.be/hm-DNijFbYk?a" TargetMode="External"/><Relationship Id="rId924" Type="http://schemas.openxmlformats.org/officeDocument/2006/relationships/hyperlink" Target="https://www.facebook.com/martin.brunetpuigbo" TargetMode="External"/><Relationship Id="rId1347" Type="http://schemas.openxmlformats.org/officeDocument/2006/relationships/hyperlink" Target="https://www.laverdad.es/murcia/miembros-denuncian-haber-20181207005415-ntvo.html" TargetMode="External"/><Relationship Id="rId1554" Type="http://schemas.openxmlformats.org/officeDocument/2006/relationships/hyperlink" Target="https://pbs.twimg.com/media/Dtkuw5oXcAIO9xZ.jpg" TargetMode="External"/><Relationship Id="rId1761" Type="http://schemas.openxmlformats.org/officeDocument/2006/relationships/hyperlink" Target="https://www.infolibre.es/noticias/medios/2014/09/06/13_emite_video_manipulado_para_acusar_pablo_iglesias_violento_21205_1027.html" TargetMode="External"/><Relationship Id="rId1999" Type="http://schemas.openxmlformats.org/officeDocument/2006/relationships/hyperlink" Target="https://pbs.twimg.com/media/DtwCE65WsAMzf12.jpg" TargetMode="External"/><Relationship Id="rId53" Type="http://schemas.openxmlformats.org/officeDocument/2006/relationships/hyperlink" Target="http://pic.twitter.com/uOxSuEejRv" TargetMode="External"/><Relationship Id="rId1207" Type="http://schemas.openxmlformats.org/officeDocument/2006/relationships/hyperlink" Target="https://pbs.twimg.com/media/Dt1MaS6WoAIIELO.jpg" TargetMode="External"/><Relationship Id="rId1414" Type="http://schemas.openxmlformats.org/officeDocument/2006/relationships/hyperlink" Target="http://pic.twitter.com/oI20BPKtKf" TargetMode="External"/><Relationship Id="rId1621" Type="http://schemas.openxmlformats.org/officeDocument/2006/relationships/hyperlink" Target="http://www.facebook.com/CercleNouBarris" TargetMode="External"/><Relationship Id="rId1859" Type="http://schemas.openxmlformats.org/officeDocument/2006/relationships/hyperlink" Target="https://www.periodistadigital.com/periodismo/prensa/2018/12/07/payasada-casposa-podemos-cuelan-logo-republica-marca-champu-wella-balsam-pablo-iglesias.shtml" TargetMode="External"/><Relationship Id="rId1719" Type="http://schemas.openxmlformats.org/officeDocument/2006/relationships/hyperlink" Target="http://j.mp/2RC6rsL" TargetMode="External"/><Relationship Id="rId1926" Type="http://schemas.openxmlformats.org/officeDocument/2006/relationships/hyperlink" Target="https://www.eldiario.es/_32458238" TargetMode="External"/><Relationship Id="rId2090" Type="http://schemas.openxmlformats.org/officeDocument/2006/relationships/hyperlink" Target="https://pbs.twimg.com/media/DtumWquWwAE07nM.jpg" TargetMode="External"/><Relationship Id="rId2188" Type="http://schemas.openxmlformats.org/officeDocument/2006/relationships/hyperlink" Target="http://www.youtube.com/user/AnitaMisteriosa" TargetMode="External"/><Relationship Id="rId2395" Type="http://schemas.openxmlformats.org/officeDocument/2006/relationships/hyperlink" Target="https://www.sevillainfo.es/noticias-de-andalucia/nace-un-fascista-la-carta-abierta-a-pablo-iglesias-que-se-hace-viral-tras-las-elecciones-andaluzas/" TargetMode="External"/><Relationship Id="rId367" Type="http://schemas.openxmlformats.org/officeDocument/2006/relationships/hyperlink" Target="https://pbs.twimg.com/media/Dt49Yl6WsAEmWLe.jpg" TargetMode="External"/><Relationship Id="rId574" Type="http://schemas.openxmlformats.org/officeDocument/2006/relationships/hyperlink" Target="https://twitter.com/RIVAS_Llanera/status/1071017610152738817" TargetMode="External"/><Relationship Id="rId2048" Type="http://schemas.openxmlformats.org/officeDocument/2006/relationships/hyperlink" Target="https://pbs.twimg.com/media/DtxgVeIX4AEmSEm.jpg" TargetMode="External"/><Relationship Id="rId2255" Type="http://schemas.openxmlformats.org/officeDocument/2006/relationships/hyperlink" Target="http://youtu.be/3eLKQ-zSPsk?a" TargetMode="External"/><Relationship Id="rId227" Type="http://schemas.openxmlformats.org/officeDocument/2006/relationships/hyperlink" Target="http://ramblalibre.com/2018/12/08/carta-a-pablo-iglesias-eres-un-botarate-rancio-al-que-solo-votan-las-emporradas/" TargetMode="External"/><Relationship Id="rId781" Type="http://schemas.openxmlformats.org/officeDocument/2006/relationships/hyperlink" Target="https://www.huffingtonpost.es/2018/12/07/el-dardo-de-bertin-osborne-a-gabriel-rufian-y-pablo-iglesias-espana-es-el-pais-con-mas-politicos-idiotas-por-metro-cuadrado_a_23611885/?ncid=other_twitter_cooo9wqtham&amp;utm_campaign=share_twitter" TargetMode="External"/><Relationship Id="rId879" Type="http://schemas.openxmlformats.org/officeDocument/2006/relationships/hyperlink" Target="https://pbs.twimg.com/media/Dt2I_k5XcAEBf6r.jpg" TargetMode="External"/><Relationship Id="rId2462" Type="http://schemas.openxmlformats.org/officeDocument/2006/relationships/hyperlink" Target="http://pic.twitter.com/GSumv6ABYy" TargetMode="External"/><Relationship Id="rId434" Type="http://schemas.openxmlformats.org/officeDocument/2006/relationships/hyperlink" Target="http://www.liberaong.org/" TargetMode="External"/><Relationship Id="rId641" Type="http://schemas.openxmlformats.org/officeDocument/2006/relationships/hyperlink" Target="https://okdiario.com/espana/2018/12/05/foros-militancia-podemos-arden-contra-iglesias-pablo-callate-haz-autocritica-3427399/amp" TargetMode="External"/><Relationship Id="rId739" Type="http://schemas.openxmlformats.org/officeDocument/2006/relationships/hyperlink" Target="https://pbs.twimg.com/media/DtuF2VcWkAAzUIs.jpg" TargetMode="External"/><Relationship Id="rId1064" Type="http://schemas.openxmlformats.org/officeDocument/2006/relationships/hyperlink" Target="https://lahoradigital.com/noticia/17805/politica/iglesias-propone-un-pacto-psoe-ciudadanos-para-excluir-a-la-ultraderecha.html" TargetMode="External"/><Relationship Id="rId1271" Type="http://schemas.openxmlformats.org/officeDocument/2006/relationships/hyperlink" Target="https://oscarguardingo.wordpress.com/" TargetMode="External"/><Relationship Id="rId1369" Type="http://schemas.openxmlformats.org/officeDocument/2006/relationships/hyperlink" Target="https://www.elmundo.es/baleares/2018/12/07/5c0a31e8fc6c83ee428b45c5.html" TargetMode="External"/><Relationship Id="rId1576" Type="http://schemas.openxmlformats.org/officeDocument/2006/relationships/hyperlink" Target="https://ift.tt/2PqfZFp" TargetMode="External"/><Relationship Id="rId2115" Type="http://schemas.openxmlformats.org/officeDocument/2006/relationships/hyperlink" Target="https://www.elconfidencial.com/espana/2018-12-06/aniversario-constitucion-pablo-iglesias-podemos-rey-juan-carlos_1690826/?utm_campaign=BotoneraWebapp&amp;utm_source=twitter&amp;utm_medium=social" TargetMode="External"/><Relationship Id="rId2322" Type="http://schemas.openxmlformats.org/officeDocument/2006/relationships/hyperlink" Target="https://www.change.org/p/fiscal-general-del-estado-espa%C3%B1ol-imputaci%C3%B3n-de-pablo-iglesias-he-ilegalizacion-de-podemos?recruiter=624267251&amp;utm_campaign=signature_receipt&amp;utm_medium=twitter&amp;utm_source=share_petition" TargetMode="External"/><Relationship Id="rId501" Type="http://schemas.openxmlformats.org/officeDocument/2006/relationships/hyperlink" Target="http://www.malostratosfalsos.com/" TargetMode="External"/><Relationship Id="rId946" Type="http://schemas.openxmlformats.org/officeDocument/2006/relationships/hyperlink" Target="https://twitter.com/libertaddigital/status/1071059601355927552?s=21" TargetMode="External"/><Relationship Id="rId1131" Type="http://schemas.openxmlformats.org/officeDocument/2006/relationships/hyperlink" Target="https://pbs.twimg.com/media/Dt1WeKFWoAArz5p.jpg" TargetMode="External"/><Relationship Id="rId1229" Type="http://schemas.openxmlformats.org/officeDocument/2006/relationships/hyperlink" Target="http://radiotharsus.com/" TargetMode="External"/><Relationship Id="rId1783" Type="http://schemas.openxmlformats.org/officeDocument/2006/relationships/hyperlink" Target="https://www.elsebas.net/pablo-iglesias-la-mejor-vacuna-para-no-volver-al-pasado-es-una-republica-feminista/" TargetMode="External"/><Relationship Id="rId1990" Type="http://schemas.openxmlformats.org/officeDocument/2006/relationships/hyperlink" Target="http://lrzn.es/hkasn3" TargetMode="External"/><Relationship Id="rId75" Type="http://schemas.openxmlformats.org/officeDocument/2006/relationships/hyperlink" Target="https://www.huffingtonpost.es/2018/12/07/el-dardo-de-bertin-osborne-a-gabriel-rufian-y-pablo-iglesias-espana-es-el-pais-con-mas-politicos-idiotas-por-metro-cuadrado_a_23611885/?utm_hp_ref=es-homepage" TargetMode="External"/><Relationship Id="rId806" Type="http://schemas.openxmlformats.org/officeDocument/2006/relationships/hyperlink" Target="https://www.redbubble.com/es/people/Tabarnia1492/shop?asc=u" TargetMode="External"/><Relationship Id="rId1436" Type="http://schemas.openxmlformats.org/officeDocument/2006/relationships/hyperlink" Target="https://eldebate.es/politica-de-estado/cisma-en-podemos-cuando-iglesias-defendia-el-derecho-a-portar-armas-20181207" TargetMode="External"/><Relationship Id="rId1643" Type="http://schemas.openxmlformats.org/officeDocument/2006/relationships/hyperlink" Target="http://puertasdoor-man.com/" TargetMode="External"/><Relationship Id="rId1850" Type="http://schemas.openxmlformats.org/officeDocument/2006/relationships/hyperlink" Target="https://twitter.com/orbitaeduardo/status/1070791475988975617" TargetMode="External"/><Relationship Id="rId1503" Type="http://schemas.openxmlformats.org/officeDocument/2006/relationships/hyperlink" Target="https://www.laverdad.es/murcia/miembros-denuncian-haber-20181207005415-ntvo.html" TargetMode="External"/><Relationship Id="rId1710" Type="http://schemas.openxmlformats.org/officeDocument/2006/relationships/hyperlink" Target="https://pbs.twimg.com/media/DtzjrSIWsAAJGsk.jpg" TargetMode="External"/><Relationship Id="rId1948" Type="http://schemas.openxmlformats.org/officeDocument/2006/relationships/hyperlink" Target="https://lnkd.in/g_3tguS" TargetMode="External"/><Relationship Id="rId291" Type="http://schemas.openxmlformats.org/officeDocument/2006/relationships/hyperlink" Target="https://www.elmundo.es/baleares/2018/12/07/5c0a31e8fc6c83ee428b45c5.html" TargetMode="External"/><Relationship Id="rId1808" Type="http://schemas.openxmlformats.org/officeDocument/2006/relationships/hyperlink" Target="http://libertadinformacion.cc/formulario-de-acceso-oposicion-y-supresion-de-datos-1/" TargetMode="External"/><Relationship Id="rId151" Type="http://schemas.openxmlformats.org/officeDocument/2006/relationships/hyperlink" Target="https://blogs.publico.es/dominiopublico/27340/carta-al-tipo-que-mando-una-carta-a-pablo-iglesias/" TargetMode="External"/><Relationship Id="rId389" Type="http://schemas.openxmlformats.org/officeDocument/2006/relationships/hyperlink" Target="http://pic.twitter.com/fIqKA4Kvmw" TargetMode="External"/><Relationship Id="rId596" Type="http://schemas.openxmlformats.org/officeDocument/2006/relationships/hyperlink" Target="https://pbs.twimg.com/media/Dt4RwfXWoAAaBKg.jpg" TargetMode="External"/><Relationship Id="rId2277" Type="http://schemas.openxmlformats.org/officeDocument/2006/relationships/hyperlink" Target="https://twitter.com/agarzon/status/1070600644908777472" TargetMode="External"/><Relationship Id="rId2484" Type="http://schemas.openxmlformats.org/officeDocument/2006/relationships/hyperlink" Target="https://pbs.twimg.com/media/Dtwfr_vXcAAYIN8.jpg" TargetMode="External"/><Relationship Id="rId249" Type="http://schemas.openxmlformats.org/officeDocument/2006/relationships/hyperlink" Target="http://chng.it/Z2FLLKbc" TargetMode="External"/><Relationship Id="rId456" Type="http://schemas.openxmlformats.org/officeDocument/2006/relationships/hyperlink" Target="https://pbs.twimg.com/media/Dtv6Sc_X4AE3Fv1.jpg" TargetMode="External"/><Relationship Id="rId663" Type="http://schemas.openxmlformats.org/officeDocument/2006/relationships/hyperlink" Target="https://twitter.com/rouco64/status/1071032276908150784" TargetMode="External"/><Relationship Id="rId870" Type="http://schemas.openxmlformats.org/officeDocument/2006/relationships/hyperlink" Target="https://twitter.com/YolandaTabarnia/status/1071068718455754763" TargetMode="External"/><Relationship Id="rId1086" Type="http://schemas.openxmlformats.org/officeDocument/2006/relationships/hyperlink" Target="http://cupuladepapel.blogspot.com.es/" TargetMode="External"/><Relationship Id="rId1293" Type="http://schemas.openxmlformats.org/officeDocument/2006/relationships/hyperlink" Target="https://www.youtube.com/channel/UCl-_iYBzcBZvjEoHp81MlUg" TargetMode="External"/><Relationship Id="rId2137" Type="http://schemas.openxmlformats.org/officeDocument/2006/relationships/hyperlink" Target="https://www.youtube.com/watch?v=N6Fc5B_gRYI" TargetMode="External"/><Relationship Id="rId2344" Type="http://schemas.openxmlformats.org/officeDocument/2006/relationships/hyperlink" Target="http://veoinfo.com/" TargetMode="External"/><Relationship Id="rId2551" Type="http://schemas.openxmlformats.org/officeDocument/2006/relationships/hyperlink" Target="https://pbs.twimg.com/media/DtwY4orWoAcUnMu.jpg" TargetMode="External"/><Relationship Id="rId109" Type="http://schemas.openxmlformats.org/officeDocument/2006/relationships/hyperlink" Target="https://casoaislado.com/miles-de-espanoles-firman-para-que-pablo-iglesias-sea-condenado-a-prision-por-delito-de-odio-contra-vox/" TargetMode="External"/><Relationship Id="rId316" Type="http://schemas.openxmlformats.org/officeDocument/2006/relationships/hyperlink" Target="https://pbs.twimg.com/media/Dt5I6KYXQAAly1P.jpg" TargetMode="External"/><Relationship Id="rId523" Type="http://schemas.openxmlformats.org/officeDocument/2006/relationships/hyperlink" Target="https://okdiario.com/espana/2018/12/05/ciudadano-cake-toma-vox-antiguo-barrio-pablo-iglesias-3430388" TargetMode="External"/><Relationship Id="rId968" Type="http://schemas.openxmlformats.org/officeDocument/2006/relationships/hyperlink" Target="https://www.lasilenciosacat.org/" TargetMode="External"/><Relationship Id="rId1153" Type="http://schemas.openxmlformats.org/officeDocument/2006/relationships/hyperlink" Target="https://pbs.twimg.com/media/Dt1TxxBXQAARPaw.jpg" TargetMode="External"/><Relationship Id="rId1598" Type="http://schemas.openxmlformats.org/officeDocument/2006/relationships/hyperlink" Target="http://www.contrainformacion.es/" TargetMode="External"/><Relationship Id="rId2204" Type="http://schemas.openxmlformats.org/officeDocument/2006/relationships/hyperlink" Target="https://twitter.com/Bcnisnotcat_/status/1070802645567328256" TargetMode="External"/><Relationship Id="rId97" Type="http://schemas.openxmlformats.org/officeDocument/2006/relationships/hyperlink" Target="https://www.youtube.com/attribution_link?a=DQAo8biWMJI&amp;u=%2Fwatch%3Fv%3DKR6MjZXoD7Y%26feature%3Dshare" TargetMode="External"/><Relationship Id="rId730" Type="http://schemas.openxmlformats.org/officeDocument/2006/relationships/hyperlink" Target="https://itunes.apple.com/es/book/gettysburg-1863/id665369445?mt=11" TargetMode="External"/><Relationship Id="rId828" Type="http://schemas.openxmlformats.org/officeDocument/2006/relationships/hyperlink" Target="https://twitter.com/clubdeviernes/status/1071040003839549440" TargetMode="External"/><Relationship Id="rId1013" Type="http://schemas.openxmlformats.org/officeDocument/2006/relationships/hyperlink" Target="https://twitter.com/ElenaSevillano_/status/1070966544681889793" TargetMode="External"/><Relationship Id="rId1360" Type="http://schemas.openxmlformats.org/officeDocument/2006/relationships/hyperlink" Target="http://pic.twitter.com/hSU9RqIroU" TargetMode="External"/><Relationship Id="rId1458" Type="http://schemas.openxmlformats.org/officeDocument/2006/relationships/hyperlink" Target="https://pbs.twimg.com/media/Dt0UxOFXcAUcKAg.jpg" TargetMode="External"/><Relationship Id="rId1665" Type="http://schemas.openxmlformats.org/officeDocument/2006/relationships/hyperlink" Target="https://www.20minutos.es/noticia/3510041/0/cocinero-apellas-faltas-ortografia-rivales-pablo-iglesias-primarias-podemos/" TargetMode="External"/><Relationship Id="rId1872" Type="http://schemas.openxmlformats.org/officeDocument/2006/relationships/hyperlink" Target="http://www.instagram.com/Contrescarlos" TargetMode="External"/><Relationship Id="rId2411" Type="http://schemas.openxmlformats.org/officeDocument/2006/relationships/hyperlink" Target="https://www.diariovasco.com/politica/quince-encapuchados-apalean-20181204222259-nt.html" TargetMode="External"/><Relationship Id="rId2509" Type="http://schemas.openxmlformats.org/officeDocument/2006/relationships/hyperlink" Target="https://elpais.com/politica/2018/12/06/actualidad/1544100381_203267.html" TargetMode="External"/><Relationship Id="rId1220" Type="http://schemas.openxmlformats.org/officeDocument/2006/relationships/hyperlink" Target="https://www.instagram.com/crisnpatience/" TargetMode="External"/><Relationship Id="rId1318" Type="http://schemas.openxmlformats.org/officeDocument/2006/relationships/hyperlink" Target="https://www.elmundo.es/baleares/2018/12/07/5c0a31e8fc6c83ee428b45c5.html" TargetMode="External"/><Relationship Id="rId1525" Type="http://schemas.openxmlformats.org/officeDocument/2006/relationships/hyperlink" Target="https://pbs.twimg.com/media/Dt0JSbKWsAErs0y.jpg" TargetMode="External"/><Relationship Id="rId1732" Type="http://schemas.openxmlformats.org/officeDocument/2006/relationships/hyperlink" Target="http://pic.twitter.com/20yF6WPkHy" TargetMode="External"/><Relationship Id="rId24" Type="http://schemas.openxmlformats.org/officeDocument/2006/relationships/hyperlink" Target="https://pbs.twimg.com/media/Dt6CSR-UUAE2Z7J.jpg" TargetMode="External"/><Relationship Id="rId2299" Type="http://schemas.openxmlformats.org/officeDocument/2006/relationships/hyperlink" Target="https://blogs.elconfidencial.com/espana/matacan/2018-12-06/aniversario-constitucion-espana-envidiada-ignorada_1689718/?utm_campaign=BotoneraWebapp&amp;utm_source=twitter&amp;utm_medium=social" TargetMode="External"/><Relationship Id="rId173" Type="http://schemas.openxmlformats.org/officeDocument/2006/relationships/hyperlink" Target="https://pbs.twimg.com/media/Dt1QwNIW0AIbC1q.jpg" TargetMode="External"/><Relationship Id="rId380" Type="http://schemas.openxmlformats.org/officeDocument/2006/relationships/hyperlink" Target="https://pbs.twimg.com/media/Dt46efMW4AAUH8_.jpg" TargetMode="External"/><Relationship Id="rId2061" Type="http://schemas.openxmlformats.org/officeDocument/2006/relationships/hyperlink" Target="http://www.sumarium.es/" TargetMode="External"/><Relationship Id="rId240" Type="http://schemas.openxmlformats.org/officeDocument/2006/relationships/hyperlink" Target="http://www.periodistadigital.com/opinion/cartas-al-director/2018/12/08/carta-abierta-de-santiago-abascal-a-pablo-iglesias-lo-tienes-crudo.shtml" TargetMode="External"/><Relationship Id="rId478" Type="http://schemas.openxmlformats.org/officeDocument/2006/relationships/hyperlink" Target="http://pic.twitter.com/FCFmDK2ovf" TargetMode="External"/><Relationship Id="rId685" Type="http://schemas.openxmlformats.org/officeDocument/2006/relationships/hyperlink" Target="https://www.facebook.com/profile.php?id=100011075051553" TargetMode="External"/><Relationship Id="rId892" Type="http://schemas.openxmlformats.org/officeDocument/2006/relationships/hyperlink" Target="https://twitter.com/Miotroyo2parte/status/1070985477539409921" TargetMode="External"/><Relationship Id="rId2159" Type="http://schemas.openxmlformats.org/officeDocument/2006/relationships/hyperlink" Target="https://bit.ly/2KXHr" TargetMode="External"/><Relationship Id="rId2366" Type="http://schemas.openxmlformats.org/officeDocument/2006/relationships/hyperlink" Target="http://pic.twitter.com/vuWBgcZKKG" TargetMode="External"/><Relationship Id="rId100" Type="http://schemas.openxmlformats.org/officeDocument/2006/relationships/hyperlink" Target="https://digitalsevilla.com/2018/12/05/eduardo-inda-acusa-a-pablo-iglesias-de-querer-que-me-partan-la-cara-por-la-calle/" TargetMode="External"/><Relationship Id="rId338" Type="http://schemas.openxmlformats.org/officeDocument/2006/relationships/hyperlink" Target="http://www.ramblalibre.com/" TargetMode="External"/><Relationship Id="rId545" Type="http://schemas.openxmlformats.org/officeDocument/2006/relationships/hyperlink" Target="http://chng.it/FtN2zkQ5" TargetMode="External"/><Relationship Id="rId752" Type="http://schemas.openxmlformats.org/officeDocument/2006/relationships/hyperlink" Target="http://www.tabarnia.es/" TargetMode="External"/><Relationship Id="rId1175" Type="http://schemas.openxmlformats.org/officeDocument/2006/relationships/hyperlink" Target="https://www.huffingtonpost.es/2018/12/07/el-dardo-de-bertin-osborne-a-gabriel-rufian-y-pablo-iglesias-espana-es-el-pais-con-mas-politicos-idiotas-por-metro-cuadrado_a_23611885/" TargetMode="External"/><Relationship Id="rId1382" Type="http://schemas.openxmlformats.org/officeDocument/2006/relationships/hyperlink" Target="https://www.facebook.com/100008971366159/posts/1933070767001950/" TargetMode="External"/><Relationship Id="rId2019" Type="http://schemas.openxmlformats.org/officeDocument/2006/relationships/hyperlink" Target="https://twitter.com/libertadtv_/status/1070303678463119360" TargetMode="External"/><Relationship Id="rId2226" Type="http://schemas.openxmlformats.org/officeDocument/2006/relationships/hyperlink" Target="http://www.lextres.com/" TargetMode="External"/><Relationship Id="rId2433" Type="http://schemas.openxmlformats.org/officeDocument/2006/relationships/hyperlink" Target="https://twitter.com/OrbitaEduardo/status/1070714464981397504" TargetMode="External"/><Relationship Id="rId405" Type="http://schemas.openxmlformats.org/officeDocument/2006/relationships/hyperlink" Target="https://twitter.com/jotdownspain/status/1070992476876521472" TargetMode="External"/><Relationship Id="rId612" Type="http://schemas.openxmlformats.org/officeDocument/2006/relationships/hyperlink" Target="http://www.outono.net/elentir/2018/12/07/el-rey-llamo-a-pablo-iglesias-para-preocuparse-por-sus-hijos-y-asi-se-lo-ha-agradecido-iglesias/" TargetMode="External"/><Relationship Id="rId1035" Type="http://schemas.openxmlformats.org/officeDocument/2006/relationships/hyperlink" Target="http://cansants.com/" TargetMode="External"/><Relationship Id="rId1242" Type="http://schemas.openxmlformats.org/officeDocument/2006/relationships/hyperlink" Target="https://www.lasvocesdelpueblo.com/video-carga-de-los-mozos-contra-los-comandos-de-pablo-iglesias-e-independentismo-en-terrasa/" TargetMode="External"/><Relationship Id="rId1687" Type="http://schemas.openxmlformats.org/officeDocument/2006/relationships/hyperlink" Target="http://pic.twitter.com/mS9WeE2Ghr" TargetMode="External"/><Relationship Id="rId1894" Type="http://schemas.openxmlformats.org/officeDocument/2006/relationships/hyperlink" Target="https://www.periodistadigital.com/periodismo/prensa/2018/12/07/payasada-casposa-podemos-cuelan-logo-republica-marca-champu-wella-balsam-pablo-iglesias.shtml" TargetMode="External"/><Relationship Id="rId2500" Type="http://schemas.openxmlformats.org/officeDocument/2006/relationships/hyperlink" Target="https://pbs.twimg.com/media/DtwdxDIWoAATmXM.jpg" TargetMode="External"/><Relationship Id="rId917" Type="http://schemas.openxmlformats.org/officeDocument/2006/relationships/hyperlink" Target="https://pbs.twimg.com/media/Dtpt9DGWoAU3mDn.jpg" TargetMode="External"/><Relationship Id="rId1102" Type="http://schemas.openxmlformats.org/officeDocument/2006/relationships/hyperlink" Target="https://www.mediterraneodigital.com/espana/comunidad-de-madrid/pablo-iglesias-me-da-vergueenza-como-espanol-que-exista-vox.html" TargetMode="External"/><Relationship Id="rId1547" Type="http://schemas.openxmlformats.org/officeDocument/2006/relationships/hyperlink" Target="http://pic.twitter.com/fxNlM5wuBv" TargetMode="External"/><Relationship Id="rId1754" Type="http://schemas.openxmlformats.org/officeDocument/2006/relationships/hyperlink" Target="http://atres.red/gitr63" TargetMode="External"/><Relationship Id="rId1961" Type="http://schemas.openxmlformats.org/officeDocument/2006/relationships/hyperlink" Target="http://www.periodistadigital.com/" TargetMode="External"/><Relationship Id="rId46" Type="http://schemas.openxmlformats.org/officeDocument/2006/relationships/hyperlink" Target="http://www.ramblalibre.com/" TargetMode="External"/><Relationship Id="rId1407" Type="http://schemas.openxmlformats.org/officeDocument/2006/relationships/hyperlink" Target="https://www.youtube.com/channel/UCfK2E_-PvYyMdJFhpFwHQ9A" TargetMode="External"/><Relationship Id="rId1614" Type="http://schemas.openxmlformats.org/officeDocument/2006/relationships/hyperlink" Target="https://pbs.twimg.com/media/DpPyWg7WkAAZa9Y.jpg" TargetMode="External"/><Relationship Id="rId1821" Type="http://schemas.openxmlformats.org/officeDocument/2006/relationships/hyperlink" Target="https://www.elmundo.es/espana/2018/12/05/5c077ff921efa086208b475c.html" TargetMode="External"/><Relationship Id="rId195" Type="http://schemas.openxmlformats.org/officeDocument/2006/relationships/hyperlink" Target="https://www.periodistadigital.com/opinion/cartas-al-director/2018/12/08/carta-abierta-de-santiago-abascal-a-pablo-iglesias-lo-tienes-crudo.shtml" TargetMode="External"/><Relationship Id="rId1919" Type="http://schemas.openxmlformats.org/officeDocument/2006/relationships/hyperlink" Target="http://www.elcorreodemadrid.com/" TargetMode="External"/><Relationship Id="rId2083" Type="http://schemas.openxmlformats.org/officeDocument/2006/relationships/hyperlink" Target="http://a.msn.com/01/es-es/BBQzGwm?ocid=st" TargetMode="External"/><Relationship Id="rId2290" Type="http://schemas.openxmlformats.org/officeDocument/2006/relationships/hyperlink" Target="https://twitter.com/JosPastr/status/1070655772491702273" TargetMode="External"/><Relationship Id="rId2388" Type="http://schemas.openxmlformats.org/officeDocument/2006/relationships/hyperlink" Target="http://pic.twitter.com/MfYl7CXC7E" TargetMode="External"/><Relationship Id="rId262" Type="http://schemas.openxmlformats.org/officeDocument/2006/relationships/hyperlink" Target="https://pbs.twimg.com/media/Dt5QCtFWwAACxcZ.jpg" TargetMode="External"/><Relationship Id="rId567" Type="http://schemas.openxmlformats.org/officeDocument/2006/relationships/hyperlink" Target="https://okdiario.com/espana/2018/12/08/kichi-no-publica-adjudicaciones-del-ayuntamiento-cadiz-desde-que-gobierna-3412028" TargetMode="External"/><Relationship Id="rId1197" Type="http://schemas.openxmlformats.org/officeDocument/2006/relationships/hyperlink" Target="https://youtu.be/EI_Fe5bAJX8" TargetMode="External"/><Relationship Id="rId2150" Type="http://schemas.openxmlformats.org/officeDocument/2006/relationships/hyperlink" Target="http://pic.twitter.com/KTrnmSkBGf" TargetMode="External"/><Relationship Id="rId2248" Type="http://schemas.openxmlformats.org/officeDocument/2006/relationships/hyperlink" Target="http://a.msn.com/01/es-es/BBQzGwm?ocid=st-UN" TargetMode="External"/><Relationship Id="rId122" Type="http://schemas.openxmlformats.org/officeDocument/2006/relationships/hyperlink" Target="http://a.msn.com/01/es-es/BBQE04P?ocid=st" TargetMode="External"/><Relationship Id="rId774" Type="http://schemas.openxmlformats.org/officeDocument/2006/relationships/hyperlink" Target="https://www.cuatro.com/noticias/espana/sedella-carta-pablo-iglesias-rojos-fascistas_0_2669625112.html" TargetMode="External"/><Relationship Id="rId981" Type="http://schemas.openxmlformats.org/officeDocument/2006/relationships/hyperlink" Target="https://casoaislado.com/la-incitacion-al-odio-contra-vox-de-pablo-iglesias-deja-sus-primeras-victimas-dos-afiliados-son-agredidos-en-murcia/" TargetMode="External"/><Relationship Id="rId1057" Type="http://schemas.openxmlformats.org/officeDocument/2006/relationships/hyperlink" Target="https://youtu.be/gjuLta58Png" TargetMode="External"/><Relationship Id="rId2010" Type="http://schemas.openxmlformats.org/officeDocument/2006/relationships/hyperlink" Target="http://noticiasvenezuela.org/" TargetMode="External"/><Relationship Id="rId2455" Type="http://schemas.openxmlformats.org/officeDocument/2006/relationships/hyperlink" Target="https://youtu.be/3eLKQ-zSPsk" TargetMode="External"/><Relationship Id="rId427" Type="http://schemas.openxmlformats.org/officeDocument/2006/relationships/hyperlink" Target="https://pbs.twimg.com/media/Dt4tOVVWwAEqFho.jpg" TargetMode="External"/><Relationship Id="rId634" Type="http://schemas.openxmlformats.org/officeDocument/2006/relationships/hyperlink" Target="https://pbs.twimg.com/media/Dt04nzWWwAY173E.jpg" TargetMode="External"/><Relationship Id="rId841" Type="http://schemas.openxmlformats.org/officeDocument/2006/relationships/hyperlink" Target="http://eldebate.es/" TargetMode="External"/><Relationship Id="rId1264" Type="http://schemas.openxmlformats.org/officeDocument/2006/relationships/hyperlink" Target="http://youtu.be/3eLKQ-zSPsk?a" TargetMode="External"/><Relationship Id="rId1471" Type="http://schemas.openxmlformats.org/officeDocument/2006/relationships/hyperlink" Target="http://bit.ly/2UpofJe" TargetMode="External"/><Relationship Id="rId1569" Type="http://schemas.openxmlformats.org/officeDocument/2006/relationships/hyperlink" Target="http://contrainformacion.es/" TargetMode="External"/><Relationship Id="rId2108" Type="http://schemas.openxmlformats.org/officeDocument/2006/relationships/hyperlink" Target="https://youtu.be/4qAf1KzbkzQ" TargetMode="External"/><Relationship Id="rId2315" Type="http://schemas.openxmlformats.org/officeDocument/2006/relationships/hyperlink" Target="https://twitter.com/oocarrillo/status/1066442422878646272" TargetMode="External"/><Relationship Id="rId2522" Type="http://schemas.openxmlformats.org/officeDocument/2006/relationships/hyperlink" Target="https://youtu.be/q_0E5BnCQg0" TargetMode="External"/><Relationship Id="rId701" Type="http://schemas.openxmlformats.org/officeDocument/2006/relationships/hyperlink" Target="http://www.manuelesbert.com/" TargetMode="External"/><Relationship Id="rId939" Type="http://schemas.openxmlformats.org/officeDocument/2006/relationships/hyperlink" Target="http://page.is/larevuelo53" TargetMode="External"/><Relationship Id="rId1124" Type="http://schemas.openxmlformats.org/officeDocument/2006/relationships/hyperlink" Target="https://pbs.twimg.com/media/Dt1XiIjWoAEIdUr.jpg" TargetMode="External"/><Relationship Id="rId1331" Type="http://schemas.openxmlformats.org/officeDocument/2006/relationships/hyperlink" Target="http://www.outono.net/elentir/2014/11/12/pablo-iglesias-reconoce-que-se-ha-dejado-usar-por-iran-para-desestabilizar-espana/" TargetMode="External"/><Relationship Id="rId1776" Type="http://schemas.openxmlformats.org/officeDocument/2006/relationships/hyperlink" Target="https://pbs.twimg.com/media/DtzXhPKVYAA3TK2.jpg" TargetMode="External"/><Relationship Id="rId1983" Type="http://schemas.openxmlformats.org/officeDocument/2006/relationships/hyperlink" Target="http://pic.twitter.com/po6IzVbHVa" TargetMode="External"/><Relationship Id="rId68" Type="http://schemas.openxmlformats.org/officeDocument/2006/relationships/hyperlink" Target="http://pic.twitter.com/WDiPB21viJ" TargetMode="External"/><Relationship Id="rId1429" Type="http://schemas.openxmlformats.org/officeDocument/2006/relationships/hyperlink" Target="https://pbs.twimg.com/media/Dt0aDLPWwAEoVGT.jpg" TargetMode="External"/><Relationship Id="rId1636" Type="http://schemas.openxmlformats.org/officeDocument/2006/relationships/hyperlink" Target="https://www.periodistadigital.com/periodismo/prensa/2018/12/07/payasada-casposa-podemos-cuelan-logo-republica-marca-champu-wella-balsam-pablo-iglesias.shtml" TargetMode="External"/><Relationship Id="rId1843" Type="http://schemas.openxmlformats.org/officeDocument/2006/relationships/hyperlink" Target="http://pic.twitter.com/rhZ1JyljNU" TargetMode="External"/><Relationship Id="rId1703" Type="http://schemas.openxmlformats.org/officeDocument/2006/relationships/hyperlink" Target="https://innovadores.larazon.es/es/not/politizar-y-hacer-politica-erronea" TargetMode="External"/><Relationship Id="rId1910" Type="http://schemas.openxmlformats.org/officeDocument/2006/relationships/hyperlink" Target="https://situacionesdficiles.blog/" TargetMode="External"/><Relationship Id="rId284" Type="http://schemas.openxmlformats.org/officeDocument/2006/relationships/hyperlink" Target="https://www.youtube.com/watch?v=3KGu0jSZYIM&amp;list=PL650Y28jDUauvB6NtMX-FHHslor4vf0sX&amp;index=7" TargetMode="External"/><Relationship Id="rId491" Type="http://schemas.openxmlformats.org/officeDocument/2006/relationships/hyperlink" Target="https://twitter.com/rosadiezglez/status/1071335367855476738" TargetMode="External"/><Relationship Id="rId2172" Type="http://schemas.openxmlformats.org/officeDocument/2006/relationships/hyperlink" Target="https://www.abc.es/historia/abci-fascista-franquista-verdadero-origen-aguila-san-juan-escudo-espana-201812040238_noticia.html" TargetMode="External"/><Relationship Id="rId144" Type="http://schemas.openxmlformats.org/officeDocument/2006/relationships/hyperlink" Target="https://pbs.twimg.com/media/Dt5p7AKUwAAabHr.jpg" TargetMode="External"/><Relationship Id="rId589" Type="http://schemas.openxmlformats.org/officeDocument/2006/relationships/hyperlink" Target="https://pbs.twimg.com/media/Dt4V726WkAA3LQC.jpg" TargetMode="External"/><Relationship Id="rId796" Type="http://schemas.openxmlformats.org/officeDocument/2006/relationships/hyperlink" Target="https://www.huffingtonpost.es/2018/12/07/el-dardo-de-bertin-osborne-a-gabriel-rufian-y-pablo-iglesias-espana-es-el-pais-con-mas-politicos-idiotas-por-metro-cuadrado_a_23611885/?utm_hp_ref=es-homepage" TargetMode="External"/><Relationship Id="rId2477" Type="http://schemas.openxmlformats.org/officeDocument/2006/relationships/hyperlink" Target="https://malagaahora.org/" TargetMode="External"/><Relationship Id="rId351" Type="http://schemas.openxmlformats.org/officeDocument/2006/relationships/hyperlink" Target="https://f7td5.app.goo.gl/FZCG1" TargetMode="External"/><Relationship Id="rId449" Type="http://schemas.openxmlformats.org/officeDocument/2006/relationships/hyperlink" Target="http://instagram.com/alexlopezhern" TargetMode="External"/><Relationship Id="rId656" Type="http://schemas.openxmlformats.org/officeDocument/2006/relationships/hyperlink" Target="https://www.periodistadigital.com/ocio-y-cultura/gente/2018/12/08/bertin-osborne-hunde-miseria-pablo-iglesias-no-voto-muerto-borracho-vino.shtml" TargetMode="External"/><Relationship Id="rId863" Type="http://schemas.openxmlformats.org/officeDocument/2006/relationships/hyperlink" Target="https://youtu.be/RaSIX4-RPAI" TargetMode="External"/><Relationship Id="rId1079" Type="http://schemas.openxmlformats.org/officeDocument/2006/relationships/hyperlink" Target="https://www.elcorreodemadrid.com/nacional/44860553/El-Congreso-aplaude-al-Rey-y-deja-en-ridiculo-a-Pablo-Iglesias.html" TargetMode="External"/><Relationship Id="rId1286" Type="http://schemas.openxmlformats.org/officeDocument/2006/relationships/hyperlink" Target="https://www.esdiario.com/257763269/Losantos-advierte-de-lo-que-trama-Iglesias-contra-Vox-y-el-que-le-estorbe.html" TargetMode="External"/><Relationship Id="rId1493" Type="http://schemas.openxmlformats.org/officeDocument/2006/relationships/hyperlink" Target="https://catalunyadiari.com/amp/politica/tribunal-constitucional-recursos-empara-presos-gener" TargetMode="External"/><Relationship Id="rId2032" Type="http://schemas.openxmlformats.org/officeDocument/2006/relationships/hyperlink" Target="http://www.europapress.es/" TargetMode="External"/><Relationship Id="rId2337" Type="http://schemas.openxmlformats.org/officeDocument/2006/relationships/hyperlink" Target="http://www.multiforo.eu/" TargetMode="External"/><Relationship Id="rId2544" Type="http://schemas.openxmlformats.org/officeDocument/2006/relationships/hyperlink" Target="https://pbs.twimg.com/media/DtwZVUxWoAI9aux.jpg" TargetMode="External"/><Relationship Id="rId211" Type="http://schemas.openxmlformats.org/officeDocument/2006/relationships/hyperlink" Target="https://pbs.twimg.com/media/Dt5aApTU8AEi_js.jpg" TargetMode="External"/><Relationship Id="rId309" Type="http://schemas.openxmlformats.org/officeDocument/2006/relationships/hyperlink" Target="http://www.mariapazos.com/" TargetMode="External"/><Relationship Id="rId516" Type="http://schemas.openxmlformats.org/officeDocument/2006/relationships/hyperlink" Target="https://youtu.be/J8zxI2tnsSc" TargetMode="External"/><Relationship Id="rId1146" Type="http://schemas.openxmlformats.org/officeDocument/2006/relationships/hyperlink" Target="http://lrzn.es/bs8wd4" TargetMode="External"/><Relationship Id="rId1798" Type="http://schemas.openxmlformats.org/officeDocument/2006/relationships/hyperlink" Target="https://twitter.com/ahorapodemos/status/1070633150353760256" TargetMode="External"/><Relationship Id="rId723" Type="http://schemas.openxmlformats.org/officeDocument/2006/relationships/hyperlink" Target="http://www.outono.net/elentir/2014/11/12/pablo-iglesias-reconoce-que-se-ha-dejado-usar-por-iran-para-desestabilizar-espana/" TargetMode="External"/><Relationship Id="rId930" Type="http://schemas.openxmlformats.org/officeDocument/2006/relationships/hyperlink" Target="http://chng.it/M8K9wsfc" TargetMode="External"/><Relationship Id="rId1006" Type="http://schemas.openxmlformats.org/officeDocument/2006/relationships/hyperlink" Target="http://eleanor-viviendo.blogspot.com/" TargetMode="External"/><Relationship Id="rId1353" Type="http://schemas.openxmlformats.org/officeDocument/2006/relationships/hyperlink" Target="https://pbs.twimg.com/media/Dt0nzicW4AA7hZD.jpg" TargetMode="External"/><Relationship Id="rId1560" Type="http://schemas.openxmlformats.org/officeDocument/2006/relationships/hyperlink" Target="https://www.elmundo.es/baleares/2018/12/07/5c0a31e8fc6c83ee428b45c5.html" TargetMode="External"/><Relationship Id="rId1658" Type="http://schemas.openxmlformats.org/officeDocument/2006/relationships/hyperlink" Target="https://twitter.com/sjar73/status/1070786196224262144" TargetMode="External"/><Relationship Id="rId1865" Type="http://schemas.openxmlformats.org/officeDocument/2006/relationships/hyperlink" Target="https://elpais.com/politica/2018/11/28/actualidad/1543424221_050040.html" TargetMode="External"/><Relationship Id="rId2404" Type="http://schemas.openxmlformats.org/officeDocument/2006/relationships/hyperlink" Target="https://pbs.twimg.com/media/DtwpHpFWsAEP5tI.jpg" TargetMode="External"/><Relationship Id="rId1213" Type="http://schemas.openxmlformats.org/officeDocument/2006/relationships/hyperlink" Target="http://www.outono.net/elentir/2014/11/12/pablo-iglesias-reconoce-que-se-ha-dejado-usar-por-iran-para-desestabilizar-espana/" TargetMode="External"/><Relationship Id="rId1420" Type="http://schemas.openxmlformats.org/officeDocument/2006/relationships/hyperlink" Target="https://pbs.twimg.com/media/Dt0aVwjWkAIpNls.jpg" TargetMode="External"/><Relationship Id="rId1518" Type="http://schemas.openxmlformats.org/officeDocument/2006/relationships/hyperlink" Target="https://www.facebook.com/podemosdolores/videos/785332081811852/" TargetMode="External"/><Relationship Id="rId1725" Type="http://schemas.openxmlformats.org/officeDocument/2006/relationships/hyperlink" Target="http://lasilenciosacat.es/" TargetMode="External"/><Relationship Id="rId1932" Type="http://schemas.openxmlformats.org/officeDocument/2006/relationships/hyperlink" Target="https://www.ondacero.es/directo/" TargetMode="External"/><Relationship Id="rId17" Type="http://schemas.openxmlformats.org/officeDocument/2006/relationships/hyperlink" Target="https://casoaislado.com/miles-de-espanoles-firman-para-que-pablo-iglesias-sea-condenado-a-prision-por-delito-de-odio-contra-vox/" TargetMode="External"/><Relationship Id="rId2194" Type="http://schemas.openxmlformats.org/officeDocument/2006/relationships/hyperlink" Target="https://m.facebook.com/?_rdr" TargetMode="External"/><Relationship Id="rId166" Type="http://schemas.openxmlformats.org/officeDocument/2006/relationships/hyperlink" Target="https://okdiario.com/internacional/2018/12/08/iran-amenaza-occidente-diluvio-drogas-refugiados-atentados-si-continuan-sanciones-3441895/amp" TargetMode="External"/><Relationship Id="rId373" Type="http://schemas.openxmlformats.org/officeDocument/2006/relationships/hyperlink" Target="http://youtu.be/sB9DLnvfAp0?a" TargetMode="External"/><Relationship Id="rId580" Type="http://schemas.openxmlformats.org/officeDocument/2006/relationships/hyperlink" Target="http://merianmi.wordpress.com/" TargetMode="External"/><Relationship Id="rId2054" Type="http://schemas.openxmlformats.org/officeDocument/2006/relationships/hyperlink" Target="http://pic.twitter.com/20yF6WPkHy" TargetMode="External"/><Relationship Id="rId2261" Type="http://schemas.openxmlformats.org/officeDocument/2006/relationships/hyperlink" Target="http://www.sumarium.es/" TargetMode="External"/><Relationship Id="rId2499" Type="http://schemas.openxmlformats.org/officeDocument/2006/relationships/hyperlink" Target="http://pic.twitter.com/tbDcRmJQHD" TargetMode="External"/><Relationship Id="rId1" Type="http://schemas.openxmlformats.org/officeDocument/2006/relationships/hyperlink" Target="http://pic.twitter.com/6pcHMio2Kz" TargetMode="External"/><Relationship Id="rId233" Type="http://schemas.openxmlformats.org/officeDocument/2006/relationships/hyperlink" Target="http://dlvr.it/Qt7hTG" TargetMode="External"/><Relationship Id="rId440" Type="http://schemas.openxmlformats.org/officeDocument/2006/relationships/hyperlink" Target="https://pbs.twimg.com/media/Dt4tycaW4AAVjnb.jpg" TargetMode="External"/><Relationship Id="rId678" Type="http://schemas.openxmlformats.org/officeDocument/2006/relationships/hyperlink" Target="http://www.tabarnia.es/" TargetMode="External"/><Relationship Id="rId885" Type="http://schemas.openxmlformats.org/officeDocument/2006/relationships/hyperlink" Target="https://www.ecorepublicano.es/2018/12/el-torero-fran-rivera-apoya-vox-y.html" TargetMode="External"/><Relationship Id="rId1070" Type="http://schemas.openxmlformats.org/officeDocument/2006/relationships/hyperlink" Target="https://diariopatriota.com/un-medico-malagueno-vapulea-a-pablo-iglesias-en-una-carta-abierta-busca-a-los-fascistas-en-las-propias-sedes-de-podemos/" TargetMode="External"/><Relationship Id="rId2121" Type="http://schemas.openxmlformats.org/officeDocument/2006/relationships/hyperlink" Target="https://pbs.twimg.com/media/DtxPwE4WkAUdKjV.jpg" TargetMode="External"/><Relationship Id="rId2359" Type="http://schemas.openxmlformats.org/officeDocument/2006/relationships/hyperlink" Target="http://bit.ly/2SxSrjD" TargetMode="External"/><Relationship Id="rId2566" Type="http://schemas.openxmlformats.org/officeDocument/2006/relationships/hyperlink" Target="https://www.20minutos.es/noticia/3508831/0/carta-viral-abierta-andaluz-medico-pablo-iglesias-cuando-usted-predica-pobreza-pero-compra-chale-nace-fascista-elecciones-andalucia-2018-podemos-vox/" TargetMode="External"/><Relationship Id="rId300" Type="http://schemas.openxmlformats.org/officeDocument/2006/relationships/hyperlink" Target="https://www.change.org/p/ministerio-de-justicia-pena-de-prisi%C3%B3n-de-1-a-4-a%C3%B1os-para-pablo-iglesias-por-delito-de-odio?recruiter=744332884&amp;utm_source=share_petition&amp;utm_medium=twitter&amp;utm_campaign=psf_combo_share_initial.pacific_email_copy_en_us_3.control.pacific_email_copy_en_us_5.v1.pacific_post_sap_share_gmail_abi.control.pacific_email_copy_en_gb_4.v1.lightning_2primary_share_options_more.fake_control&amp;utm_term=psf_combo_share_abi.pacific_email_copy_en_gb_4.v1.pacific_post_sap_share_gmail_abi.control.pacific_email_copy_en_us_3.control.pacific_email_copy_en_us_5.v1.lightning_2primary_share_options_more.variant" TargetMode="External"/><Relationship Id="rId538" Type="http://schemas.openxmlformats.org/officeDocument/2006/relationships/hyperlink" Target="https://www.elmundo.es/loc/famosos/2018/12/08/5c0a3ffffc6c8320198b45e5.html" TargetMode="External"/><Relationship Id="rId745" Type="http://schemas.openxmlformats.org/officeDocument/2006/relationships/hyperlink" Target="https://nyti.ms/2G7GZKx" TargetMode="External"/><Relationship Id="rId952" Type="http://schemas.openxmlformats.org/officeDocument/2006/relationships/hyperlink" Target="http://pic.twitter.com/Lcmt9lfLv1" TargetMode="External"/><Relationship Id="rId1168" Type="http://schemas.openxmlformats.org/officeDocument/2006/relationships/hyperlink" Target="https://youtu.be/gjuLta58Png" TargetMode="External"/><Relationship Id="rId1375" Type="http://schemas.openxmlformats.org/officeDocument/2006/relationships/hyperlink" Target="https://pbs.twimg.com/media/Dt0jRbtXQAEuLuA.png" TargetMode="External"/><Relationship Id="rId1582" Type="http://schemas.openxmlformats.org/officeDocument/2006/relationships/hyperlink" Target="http://libertadesliterarias.blogspot.com.es/" TargetMode="External"/><Relationship Id="rId2219" Type="http://schemas.openxmlformats.org/officeDocument/2006/relationships/hyperlink" Target="http://www.diarioalcazar.com/2018/12/pablo-iglesias-podria-ser-juzgado-por.html" TargetMode="External"/><Relationship Id="rId2426" Type="http://schemas.openxmlformats.org/officeDocument/2006/relationships/hyperlink" Target="http://youtu.be/lnKXjTVyCgg?a" TargetMode="External"/><Relationship Id="rId81" Type="http://schemas.openxmlformats.org/officeDocument/2006/relationships/hyperlink" Target="https://pbs.twimg.com/media/Dt55DW9UwAEQRTl.jpg" TargetMode="External"/><Relationship Id="rId605" Type="http://schemas.openxmlformats.org/officeDocument/2006/relationships/hyperlink" Target="https://www.elmundo.es/loc/famosos/2018/12/08/5c0a3ffffc6c8320198b45e5.html" TargetMode="External"/><Relationship Id="rId812" Type="http://schemas.openxmlformats.org/officeDocument/2006/relationships/hyperlink" Target="http://www.saenzsotogrande.blogspot.com/" TargetMode="External"/><Relationship Id="rId1028" Type="http://schemas.openxmlformats.org/officeDocument/2006/relationships/hyperlink" Target="https://twitter.com/RIVAS_Llanera/status/1071017610152738817" TargetMode="External"/><Relationship Id="rId1235" Type="http://schemas.openxmlformats.org/officeDocument/2006/relationships/hyperlink" Target="http://pic.twitter.com/WjcMg1g64n" TargetMode="External"/><Relationship Id="rId1442" Type="http://schemas.openxmlformats.org/officeDocument/2006/relationships/hyperlink" Target="https://elpais.com/politica/2018/12/07/actualidad/1544185491_712670.html" TargetMode="External"/><Relationship Id="rId1887" Type="http://schemas.openxmlformats.org/officeDocument/2006/relationships/hyperlink" Target="http://www.voxespana.es/" TargetMode="External"/><Relationship Id="rId1302" Type="http://schemas.openxmlformats.org/officeDocument/2006/relationships/hyperlink" Target="http://www.radiobenamocarra.es/" TargetMode="External"/><Relationship Id="rId1747" Type="http://schemas.openxmlformats.org/officeDocument/2006/relationships/hyperlink" Target="http://t.me/ahoracantabria" TargetMode="External"/><Relationship Id="rId1954" Type="http://schemas.openxmlformats.org/officeDocument/2006/relationships/hyperlink" Target="http://www.periodistadigital.com/" TargetMode="External"/><Relationship Id="rId39" Type="http://schemas.openxmlformats.org/officeDocument/2006/relationships/hyperlink" Target="https://pbs.twimg.com/media/Dt5-UAQVsAAuHJL.jpg" TargetMode="External"/><Relationship Id="rId1607" Type="http://schemas.openxmlformats.org/officeDocument/2006/relationships/hyperlink" Target="https://www.esdiario.com/781025410/Pablo-Iglesias-se-desespera-al-quedarse-solo-en-su-caceria-al-Rey-Juan-Carlos.html" TargetMode="External"/><Relationship Id="rId1814" Type="http://schemas.openxmlformats.org/officeDocument/2006/relationships/hyperlink" Target="https://www.que.es/listas/asi-es-el-belen-que-incluye-desde-el-chalet-de-pablo-iglesias-a-susana-diaz-o-concursantes-de-ot.html" TargetMode="External"/><Relationship Id="rId188" Type="http://schemas.openxmlformats.org/officeDocument/2006/relationships/hyperlink" Target="https://www.periodistadigital.com/ocio-y-cultura/gente/2018/12/08/bertin-osborne-hunde-miseria-pablo-iglesias-no-voto-muerto-borracho-vino.shtml" TargetMode="External"/><Relationship Id="rId395" Type="http://schemas.openxmlformats.org/officeDocument/2006/relationships/hyperlink" Target="http://page.is/hugo-0" TargetMode="External"/><Relationship Id="rId2076" Type="http://schemas.openxmlformats.org/officeDocument/2006/relationships/hyperlink" Target="https://www.elmatinal.com/actualidad/piden-la-detencion-de-pablo-iglesias-por-ser-el-promotor-de-las-violentas-manifestaciones-contra-vox-en-andalucia/" TargetMode="External"/><Relationship Id="rId2283" Type="http://schemas.openxmlformats.org/officeDocument/2006/relationships/hyperlink" Target="https://sevilla.abc.es/elecciones/andalucia/sevi-carta-medico-malaga-pablo-iglesias-201812041654_noticia.html" TargetMode="External"/><Relationship Id="rId2490" Type="http://schemas.openxmlformats.org/officeDocument/2006/relationships/hyperlink" Target="https://www.elmatinal.com/actualidad/piden-la-detencion-de-pablo-iglesias-por-ser-el-promotor-de-las-violentas-manifestaciones-contra-vox-en-andalucia/" TargetMode="External"/><Relationship Id="rId255" Type="http://schemas.openxmlformats.org/officeDocument/2006/relationships/hyperlink" Target="https://blogs.publico.es/dominiopublico/27340/carta-al-tipo-que-mando-una-carta-a-pablo-iglesias/" TargetMode="External"/><Relationship Id="rId462" Type="http://schemas.openxmlformats.org/officeDocument/2006/relationships/hyperlink" Target="https://www.sevillainfo.es/noticias-de-andalucia/nace-un-fascista-la-carta-abierta-a-pablo-iglesias-que-se-hace-viral-tras-las-elecciones-andaluzas/" TargetMode="External"/><Relationship Id="rId1092" Type="http://schemas.openxmlformats.org/officeDocument/2006/relationships/hyperlink" Target="http://tardedesiempre.blogpost.com/" TargetMode="External"/><Relationship Id="rId1397" Type="http://schemas.openxmlformats.org/officeDocument/2006/relationships/hyperlink" Target="https://www.europapress.es/nacional/noticia-pablo-iglesias-critica-discurso-decepcionante-rey-ovacion-sobreactuada-juan-carlos-20181206140752.html" TargetMode="External"/><Relationship Id="rId2143" Type="http://schemas.openxmlformats.org/officeDocument/2006/relationships/hyperlink" Target="https://pbs.twimg.com/media/DtxMvCVW0AATkQJ.jpg" TargetMode="External"/><Relationship Id="rId2350" Type="http://schemas.openxmlformats.org/officeDocument/2006/relationships/hyperlink" Target="http://pic.twitter.com/20yF6WPkHy" TargetMode="External"/><Relationship Id="rId115" Type="http://schemas.openxmlformats.org/officeDocument/2006/relationships/hyperlink" Target="https://pbs.twimg.com/media/Dt5w0biUwAEAQGN.jpg" TargetMode="External"/><Relationship Id="rId322" Type="http://schemas.openxmlformats.org/officeDocument/2006/relationships/hyperlink" Target="http://www.outono.net/elentir/2018/12/07/el-rey-llamo-a-pablo-iglesias-para-preocuparse-por-sus-hijos-y-asi-se-lo-ha-agradecido-iglesias/" TargetMode="External"/><Relationship Id="rId767" Type="http://schemas.openxmlformats.org/officeDocument/2006/relationships/hyperlink" Target="https://www.larazon.es/local/andalucia/nace-un-fascista--la-carta-viral-que-explica-a-iglesias-el-ascenso-de-vox-LO20848939" TargetMode="External"/><Relationship Id="rId974" Type="http://schemas.openxmlformats.org/officeDocument/2006/relationships/hyperlink" Target="https://www.youtube.com/watch?v=N6Fc5B_gRYI&amp;fbclid=IwAR0mbXe02Xt0WhImQH9vV1SjytalDyeBhVRmajlhnheIQAnaGwlbCD2x87E" TargetMode="External"/><Relationship Id="rId2003" Type="http://schemas.openxmlformats.org/officeDocument/2006/relationships/hyperlink" Target="https://twitter.com/m_pais/status/1070244025549115392" TargetMode="External"/><Relationship Id="rId2210" Type="http://schemas.openxmlformats.org/officeDocument/2006/relationships/hyperlink" Target="https://pbs.twimg.com/media/DtxBhApW0AARW4d.jpg" TargetMode="External"/><Relationship Id="rId2448" Type="http://schemas.openxmlformats.org/officeDocument/2006/relationships/hyperlink" Target="http://www.josesimongracia.es/" TargetMode="External"/><Relationship Id="rId627" Type="http://schemas.openxmlformats.org/officeDocument/2006/relationships/hyperlink" Target="http://chng.it/GbJ5sCMV" TargetMode="External"/><Relationship Id="rId834" Type="http://schemas.openxmlformats.org/officeDocument/2006/relationships/hyperlink" Target="http://chng.it/g7TtMXTj" TargetMode="External"/><Relationship Id="rId1257" Type="http://schemas.openxmlformats.org/officeDocument/2006/relationships/hyperlink" Target="https://pbs.twimg.com/media/Dt0_kKGWwAAFl78.jpg" TargetMode="External"/><Relationship Id="rId1464" Type="http://schemas.openxmlformats.org/officeDocument/2006/relationships/hyperlink" Target="https://pbs.twimg.com/media/Dt0Tm1PW4AAzAzY.jpg" TargetMode="External"/><Relationship Id="rId1671" Type="http://schemas.openxmlformats.org/officeDocument/2006/relationships/hyperlink" Target="https://twitter.com/PilotoRojo73/status/1070445562128990208" TargetMode="External"/><Relationship Id="rId2308" Type="http://schemas.openxmlformats.org/officeDocument/2006/relationships/hyperlink" Target="http://www.bitmomentum.com/" TargetMode="External"/><Relationship Id="rId2515" Type="http://schemas.openxmlformats.org/officeDocument/2006/relationships/hyperlink" Target="https://elpais.com/politica/2018/12/06/actualidad/1544100381_203267.html" TargetMode="External"/><Relationship Id="rId901" Type="http://schemas.openxmlformats.org/officeDocument/2006/relationships/hyperlink" Target="https://pbs.twimg.com/media/Dt2DyslXQAshVOx.jpg" TargetMode="External"/><Relationship Id="rId1117" Type="http://schemas.openxmlformats.org/officeDocument/2006/relationships/hyperlink" Target="https://twitter.com/Pablo_Iglesias_/status/1071040955615195136" TargetMode="External"/><Relationship Id="rId1324" Type="http://schemas.openxmlformats.org/officeDocument/2006/relationships/hyperlink" Target="https://twitter.com/okdiario/status/1071056738076418048" TargetMode="External"/><Relationship Id="rId1531" Type="http://schemas.openxmlformats.org/officeDocument/2006/relationships/hyperlink" Target="http://www.facebook.com/richiegz" TargetMode="External"/><Relationship Id="rId1769" Type="http://schemas.openxmlformats.org/officeDocument/2006/relationships/hyperlink" Target="https://www.elmatinal.com/actualidad/piden-la-detencion-de-pablo-iglesias-por-ser-el-promotor-de-las-violentas-manifestaciones-contra-vox-en-andalucia/" TargetMode="External"/><Relationship Id="rId1976" Type="http://schemas.openxmlformats.org/officeDocument/2006/relationships/hyperlink" Target="https://pbs.twimg.com/media/DtyZvI8XQAEWSsD.jpg" TargetMode="External"/><Relationship Id="rId30" Type="http://schemas.openxmlformats.org/officeDocument/2006/relationships/hyperlink" Target="http://chng.it/tbzcPr9Q" TargetMode="External"/><Relationship Id="rId1629" Type="http://schemas.openxmlformats.org/officeDocument/2006/relationships/hyperlink" Target="https://eldebate.es/politica-de-estado/las-4-menciones-a-espana-que-podemos-borro-del-discurso-de-pablo-iglesias-tras-el-2-d-20181207" TargetMode="External"/><Relationship Id="rId1836" Type="http://schemas.openxmlformats.org/officeDocument/2006/relationships/hyperlink" Target="https://pbs.twimg.com/media/DtvSBRLW4AAiYwC.jpg" TargetMode="External"/><Relationship Id="rId1903" Type="http://schemas.openxmlformats.org/officeDocument/2006/relationships/hyperlink" Target="https://twitter.com/golorico/status/1070940195279855616" TargetMode="External"/><Relationship Id="rId2098" Type="http://schemas.openxmlformats.org/officeDocument/2006/relationships/hyperlink" Target="http://www.linaresnovenaprovincia.wordpress.com/" TargetMode="External"/><Relationship Id="rId277" Type="http://schemas.openxmlformats.org/officeDocument/2006/relationships/hyperlink" Target="http://chng.it/xp4FLr9f" TargetMode="External"/><Relationship Id="rId484" Type="http://schemas.openxmlformats.org/officeDocument/2006/relationships/hyperlink" Target="https://twitter.com/Asil_Vestra0/status/1070679544879816704" TargetMode="External"/><Relationship Id="rId2165" Type="http://schemas.openxmlformats.org/officeDocument/2006/relationships/hyperlink" Target="https://pbs.twimg.com/media/DtxJf_jXcAAgAv_.jpg" TargetMode="External"/><Relationship Id="rId137" Type="http://schemas.openxmlformats.org/officeDocument/2006/relationships/hyperlink" Target="http://pic.twitter.com/c3p0U3bMWR" TargetMode="External"/><Relationship Id="rId344" Type="http://schemas.openxmlformats.org/officeDocument/2006/relationships/hyperlink" Target="http://www.tantricproductions.com/" TargetMode="External"/><Relationship Id="rId691" Type="http://schemas.openxmlformats.org/officeDocument/2006/relationships/hyperlink" Target="https://karlattacks.tumblr.com/" TargetMode="External"/><Relationship Id="rId789" Type="http://schemas.openxmlformats.org/officeDocument/2006/relationships/hyperlink" Target="https://www.change.org/p/ministerio-de-justicia-pena-de-prisi%C3%B3n-de-1-a-4-a%C3%B1os-para-pablo-iglesias-por-delito-de-odio/psf/promote_or_share" TargetMode="External"/><Relationship Id="rId996" Type="http://schemas.openxmlformats.org/officeDocument/2006/relationships/hyperlink" Target="https://ift.tt/2rr51Wr" TargetMode="External"/><Relationship Id="rId2025" Type="http://schemas.openxmlformats.org/officeDocument/2006/relationships/hyperlink" Target="http://www.cesarderequesens.com/" TargetMode="External"/><Relationship Id="rId2372" Type="http://schemas.openxmlformats.org/officeDocument/2006/relationships/hyperlink" Target="https://www.eldiario.es/politica/Pablo-Iglesias-contrapone-republicanismo-feminista_0_843416120.html" TargetMode="External"/><Relationship Id="rId551" Type="http://schemas.openxmlformats.org/officeDocument/2006/relationships/hyperlink" Target="https://blogs.publico.es/dominiopublico/27340/carta-al-tipo-que-mando-una-carta-a-pablo-iglesias/" TargetMode="External"/><Relationship Id="rId649" Type="http://schemas.openxmlformats.org/officeDocument/2006/relationships/hyperlink" Target="http://eldebate.es/" TargetMode="External"/><Relationship Id="rId856" Type="http://schemas.openxmlformats.org/officeDocument/2006/relationships/hyperlink" Target="https://youtu.be/SYDcIq0xzZQ" TargetMode="External"/><Relationship Id="rId1181" Type="http://schemas.openxmlformats.org/officeDocument/2006/relationships/hyperlink" Target="https://www.elconfidencial.com/elecciones-andalucia/2018-12-07/vox-mensaje-andalucia-toros-caza-malaga-pueblos-rojos_1689270/" TargetMode="External"/><Relationship Id="rId1279" Type="http://schemas.openxmlformats.org/officeDocument/2006/relationships/hyperlink" Target="https://pbs.twimg.com/media/Dt04pGRXQAUMHhn.jpg" TargetMode="External"/><Relationship Id="rId1486" Type="http://schemas.openxmlformats.org/officeDocument/2006/relationships/hyperlink" Target="https://www.libertaddigital.com/espana/2018-12-07/mitin-contra-vox-de-celaa-desde-moncloa-da-instrucciones-a-pp-y-cs-para-que-no-pacten-con-ellos-1276629533/" TargetMode="External"/><Relationship Id="rId2232" Type="http://schemas.openxmlformats.org/officeDocument/2006/relationships/hyperlink" Target="https://www.elmundo.es/opinion/2018/06/16/5b23e08dca474195358b4672.html" TargetMode="External"/><Relationship Id="rId2537" Type="http://schemas.openxmlformats.org/officeDocument/2006/relationships/hyperlink" Target="https://twitter.com/arturelpayaso2/status/1070703901127651329" TargetMode="External"/><Relationship Id="rId204" Type="http://schemas.openxmlformats.org/officeDocument/2006/relationships/hyperlink" Target="https://pbs.twimg.com/media/DtumWquWwAE07nM.jpg" TargetMode="External"/><Relationship Id="rId411" Type="http://schemas.openxmlformats.org/officeDocument/2006/relationships/hyperlink" Target="http://asanleo.com/" TargetMode="External"/><Relationship Id="rId509" Type="http://schemas.openxmlformats.org/officeDocument/2006/relationships/hyperlink" Target="https://twitter.com/CosasDeRusia/status/1071175595206303744" TargetMode="External"/><Relationship Id="rId1041" Type="http://schemas.openxmlformats.org/officeDocument/2006/relationships/hyperlink" Target="http://www.ariasborque.com/" TargetMode="External"/><Relationship Id="rId1139" Type="http://schemas.openxmlformats.org/officeDocument/2006/relationships/hyperlink" Target="http://garresylages.com/" TargetMode="External"/><Relationship Id="rId1346" Type="http://schemas.openxmlformats.org/officeDocument/2006/relationships/hyperlink" Target="http://www.cambio16.com/" TargetMode="External"/><Relationship Id="rId1693" Type="http://schemas.openxmlformats.org/officeDocument/2006/relationships/hyperlink" Target="http://www.profereli.blogspot.com/" TargetMode="External"/><Relationship Id="rId1998" Type="http://schemas.openxmlformats.org/officeDocument/2006/relationships/hyperlink" Target="https://bit.ly/2KXHrcO" TargetMode="External"/><Relationship Id="rId716" Type="http://schemas.openxmlformats.org/officeDocument/2006/relationships/hyperlink" Target="http://page.is/monnissima" TargetMode="External"/><Relationship Id="rId923" Type="http://schemas.openxmlformats.org/officeDocument/2006/relationships/hyperlink" Target="http://va.newsrepublic.net/s/sUxwMY" TargetMode="External"/><Relationship Id="rId1553" Type="http://schemas.openxmlformats.org/officeDocument/2006/relationships/hyperlink" Target="https://www.facebook.com/victoriandres" TargetMode="External"/><Relationship Id="rId1760" Type="http://schemas.openxmlformats.org/officeDocument/2006/relationships/hyperlink" Target="http://www.forodevigilantes.com/" TargetMode="External"/><Relationship Id="rId1858" Type="http://schemas.openxmlformats.org/officeDocument/2006/relationships/hyperlink" Target="https://www.esdiario.com/781025410/Pablo-Iglesias-se-desespera-al-quedarse-solo-en-su-caceria-al-Rey-Juan-Carlos.html" TargetMode="External"/><Relationship Id="rId52" Type="http://schemas.openxmlformats.org/officeDocument/2006/relationships/hyperlink" Target="http://lrzn.es/mbnep3" TargetMode="External"/><Relationship Id="rId1206" Type="http://schemas.openxmlformats.org/officeDocument/2006/relationships/hyperlink" Target="http://chng.it/7fBSGrVH" TargetMode="External"/><Relationship Id="rId1413" Type="http://schemas.openxmlformats.org/officeDocument/2006/relationships/hyperlink" Target="http://pic.twitter.com/49DA1Ohzae" TargetMode="External"/><Relationship Id="rId1620" Type="http://schemas.openxmlformats.org/officeDocument/2006/relationships/hyperlink" Target="https://pbs.twimg.com/media/Dtz3cIlXgAAJBmD.jpg" TargetMode="External"/><Relationship Id="rId1718" Type="http://schemas.openxmlformats.org/officeDocument/2006/relationships/hyperlink" Target="http://youtu.be/3eLKQ-zSPsk?a" TargetMode="External"/><Relationship Id="rId1925" Type="http://schemas.openxmlformats.org/officeDocument/2006/relationships/hyperlink" Target="https://okdiario.com/espana/2018/11/15/gonzalez-sobre-fuerza-iglesias-gobierno-si-fuera-presidente-no-gustaria-3353625" TargetMode="External"/><Relationship Id="rId299" Type="http://schemas.openxmlformats.org/officeDocument/2006/relationships/hyperlink" Target="http://www.apamag.org/" TargetMode="External"/><Relationship Id="rId2187" Type="http://schemas.openxmlformats.org/officeDocument/2006/relationships/hyperlink" Target="http://youtu.be/3eLKQ-zSPsk?a" TargetMode="External"/><Relationship Id="rId2394" Type="http://schemas.openxmlformats.org/officeDocument/2006/relationships/hyperlink" Target="http://www.diarioalcazar.com/2018/12/pablo-iglesias-podria-ser-juzgado-por.html" TargetMode="External"/><Relationship Id="rId159" Type="http://schemas.openxmlformats.org/officeDocument/2006/relationships/hyperlink" Target="https://www.youtube.com/channel/UC3xGO7-Lixn_-ydwent-qvQ" TargetMode="External"/><Relationship Id="rId366" Type="http://schemas.openxmlformats.org/officeDocument/2006/relationships/hyperlink" Target="https://blogs.publico.es/dominiopublico/27340/carta-al-tipo-que-mando-una-carta-a-pablo-iglesias/" TargetMode="External"/><Relationship Id="rId573" Type="http://schemas.openxmlformats.org/officeDocument/2006/relationships/hyperlink" Target="http://pic.twitter.com/hNGxlsIz8P" TargetMode="External"/><Relationship Id="rId780" Type="http://schemas.openxmlformats.org/officeDocument/2006/relationships/hyperlink" Target="http://www.transmedia.com.bo/" TargetMode="External"/><Relationship Id="rId2047" Type="http://schemas.openxmlformats.org/officeDocument/2006/relationships/hyperlink" Target="http://javiermarcosangulo.blogspot.com.es/" TargetMode="External"/><Relationship Id="rId2254" Type="http://schemas.openxmlformats.org/officeDocument/2006/relationships/hyperlink" Target="https://t.me/AitorRiveiro" TargetMode="External"/><Relationship Id="rId2461" Type="http://schemas.openxmlformats.org/officeDocument/2006/relationships/hyperlink" Target="https://twitter.com/CatalunyaFreeTV/status/1070617685271175169" TargetMode="External"/><Relationship Id="rId226" Type="http://schemas.openxmlformats.org/officeDocument/2006/relationships/hyperlink" Target="http://elrincndedonnadie.blogspot.com/" TargetMode="External"/><Relationship Id="rId433" Type="http://schemas.openxmlformats.org/officeDocument/2006/relationships/hyperlink" Target="http://pic.twitter.com/CH84kuHtyI" TargetMode="External"/><Relationship Id="rId878" Type="http://schemas.openxmlformats.org/officeDocument/2006/relationships/hyperlink" Target="http://goo.gl/alerts/N9EP9" TargetMode="External"/><Relationship Id="rId1063" Type="http://schemas.openxmlformats.org/officeDocument/2006/relationships/hyperlink" Target="https://twitter.com/perezreverte/status/1071045025642020869" TargetMode="External"/><Relationship Id="rId1270" Type="http://schemas.openxmlformats.org/officeDocument/2006/relationships/hyperlink" Target="https://participa.podemos.info/avales-candidaturas-congreso-diputados-" TargetMode="External"/><Relationship Id="rId2114" Type="http://schemas.openxmlformats.org/officeDocument/2006/relationships/hyperlink" Target="http://pic.twitter.com/lBD9ealZ7d" TargetMode="External"/><Relationship Id="rId2559" Type="http://schemas.openxmlformats.org/officeDocument/2006/relationships/hyperlink" Target="https://youtu.be/3eLKQ-zSPsk" TargetMode="External"/><Relationship Id="rId640" Type="http://schemas.openxmlformats.org/officeDocument/2006/relationships/hyperlink" Target="http://pic.twitter.com/4eD3WnBV9t" TargetMode="External"/><Relationship Id="rId738" Type="http://schemas.openxmlformats.org/officeDocument/2006/relationships/hyperlink" Target="https://kubakokodrila.blogspot.com.es/" TargetMode="External"/><Relationship Id="rId945" Type="http://schemas.openxmlformats.org/officeDocument/2006/relationships/hyperlink" Target="https://participa.podemos.info/avales-candidaturas-congreso-diputados" TargetMode="External"/><Relationship Id="rId1368" Type="http://schemas.openxmlformats.org/officeDocument/2006/relationships/hyperlink" Target="https://www.youtube.com/channel/UCl-_iYBzcBZvjEoHp81MlUg" TargetMode="External"/><Relationship Id="rId1575" Type="http://schemas.openxmlformats.org/officeDocument/2006/relationships/hyperlink" Target="http://pic.twitter.com/Qirq5pira0" TargetMode="External"/><Relationship Id="rId1782" Type="http://schemas.openxmlformats.org/officeDocument/2006/relationships/hyperlink" Target="http://www.elsebas.net/" TargetMode="External"/><Relationship Id="rId2321" Type="http://schemas.openxmlformats.org/officeDocument/2006/relationships/hyperlink" Target="https://pbs.twimg.com/media/DtvyRMAXcAEAAtf.jpg" TargetMode="External"/><Relationship Id="rId2419" Type="http://schemas.openxmlformats.org/officeDocument/2006/relationships/hyperlink" Target="https://www.elmundo.es/pais-vasco/2018/12/05/5c06ee5f21efa089208b4777.html" TargetMode="External"/><Relationship Id="rId74" Type="http://schemas.openxmlformats.org/officeDocument/2006/relationships/hyperlink" Target="http://www.ramblalibre.com/" TargetMode="External"/><Relationship Id="rId500" Type="http://schemas.openxmlformats.org/officeDocument/2006/relationships/hyperlink" Target="https://www.facebook.com/1473550627/posts/10218086932592855/" TargetMode="External"/><Relationship Id="rId805" Type="http://schemas.openxmlformats.org/officeDocument/2006/relationships/hyperlink" Target="https://www.redbubble.com/es/people/Tabarnia1492/shop?asc=u" TargetMode="External"/><Relationship Id="rId1130" Type="http://schemas.openxmlformats.org/officeDocument/2006/relationships/hyperlink" Target="https://www.elmundo.es/opinion/2018/12/06/5c07da4a21efa050158b4869.html" TargetMode="External"/><Relationship Id="rId1228" Type="http://schemas.openxmlformats.org/officeDocument/2006/relationships/hyperlink" Target="https://pbs.twimg.com/media/Dt1EEedW0AE4Bk7.jpg" TargetMode="External"/><Relationship Id="rId1435" Type="http://schemas.openxmlformats.org/officeDocument/2006/relationships/hyperlink" Target="http://eldebate.es/" TargetMode="External"/><Relationship Id="rId1642" Type="http://schemas.openxmlformats.org/officeDocument/2006/relationships/hyperlink" Target="https://www.esdiario.com/781025410/Pablo-Iglesias-se-desespera-al-quedarse-solo-en-su-caceria-al-Rey-Juan-Carlos.html" TargetMode="External"/><Relationship Id="rId1947" Type="http://schemas.openxmlformats.org/officeDocument/2006/relationships/hyperlink" Target="https://pbs.twimg.com/media/DtyKiFdWkAAdJz3.jpg" TargetMode="External"/><Relationship Id="rId1502" Type="http://schemas.openxmlformats.org/officeDocument/2006/relationships/hyperlink" Target="https://eldebate.es/politica-de-estado/las-4-menciones-a-espana-que-podemos-borro-del-discurso-de-pablo-iglesias-tras-el-2-d-20181207/amp" TargetMode="External"/><Relationship Id="rId1807" Type="http://schemas.openxmlformats.org/officeDocument/2006/relationships/hyperlink" Target="https://pbs.twimg.com/media/DtzSHXFXQAAbU4N.jpg" TargetMode="External"/><Relationship Id="rId290" Type="http://schemas.openxmlformats.org/officeDocument/2006/relationships/hyperlink" Target="http://triangol.agency/" TargetMode="External"/><Relationship Id="rId388" Type="http://schemas.openxmlformats.org/officeDocument/2006/relationships/hyperlink" Target="https://twitter.com/VanityFairSpain/status/1070330182844760064" TargetMode="External"/><Relationship Id="rId2069" Type="http://schemas.openxmlformats.org/officeDocument/2006/relationships/hyperlink" Target="https://www.eldiario.es/politica/Pablo-Iglesias-contrapone-republicanismo-feminista_0_843416120.html" TargetMode="External"/><Relationship Id="rId150" Type="http://schemas.openxmlformats.org/officeDocument/2006/relationships/hyperlink" Target="http://pic.twitter.com/jfhfC9srka" TargetMode="External"/><Relationship Id="rId595" Type="http://schemas.openxmlformats.org/officeDocument/2006/relationships/hyperlink" Target="http://visionesdelotrolado.blogspot.com/" TargetMode="External"/><Relationship Id="rId2276" Type="http://schemas.openxmlformats.org/officeDocument/2006/relationships/hyperlink" Target="http://pic.twitter.com/20yF6WPkHy" TargetMode="External"/><Relationship Id="rId2483" Type="http://schemas.openxmlformats.org/officeDocument/2006/relationships/hyperlink" Target="http://pic.twitter.com/6zKUDzYFRA" TargetMode="External"/><Relationship Id="rId248" Type="http://schemas.openxmlformats.org/officeDocument/2006/relationships/hyperlink" Target="https://blogs.publico.es/dominiopublico/27340/carta-al-tipo-que-mando-una-carta-a-pablo-iglesias/" TargetMode="External"/><Relationship Id="rId455" Type="http://schemas.openxmlformats.org/officeDocument/2006/relationships/hyperlink" Target="https://twitter.com/elespanolcom/status/1070728324198985728" TargetMode="External"/><Relationship Id="rId662" Type="http://schemas.openxmlformats.org/officeDocument/2006/relationships/hyperlink" Target="http://www.facebook.com/profile.php?id=100000765012661" TargetMode="External"/><Relationship Id="rId1085" Type="http://schemas.openxmlformats.org/officeDocument/2006/relationships/hyperlink" Target="https://pbs.twimg.com/media/Dt1grjbW0AIduTB.jpg" TargetMode="External"/><Relationship Id="rId1292" Type="http://schemas.openxmlformats.org/officeDocument/2006/relationships/hyperlink" Target="http://pic.twitter.com/JNOIm4oxA8" TargetMode="External"/><Relationship Id="rId2136" Type="http://schemas.openxmlformats.org/officeDocument/2006/relationships/hyperlink" Target="http://www.escodalibros.com/" TargetMode="External"/><Relationship Id="rId2343" Type="http://schemas.openxmlformats.org/officeDocument/2006/relationships/hyperlink" Target="https://elpais.com/politica/2018/11/28/actualidad/1543424221_050040.html?id_externo_rsoc=TW_CC" TargetMode="External"/><Relationship Id="rId2550" Type="http://schemas.openxmlformats.org/officeDocument/2006/relationships/hyperlink" Target="http://navarra.elespanol.com/opinion/autor/002529/javier-ancin" TargetMode="External"/><Relationship Id="rId108" Type="http://schemas.openxmlformats.org/officeDocument/2006/relationships/hyperlink" Target="http://www.asteakdakarrena.wordpress.com/" TargetMode="External"/><Relationship Id="rId315" Type="http://schemas.openxmlformats.org/officeDocument/2006/relationships/hyperlink" Target="https://eldebate.es/" TargetMode="External"/><Relationship Id="rId522" Type="http://schemas.openxmlformats.org/officeDocument/2006/relationships/hyperlink" Target="http://chng.it/PTyXGk2d" TargetMode="External"/><Relationship Id="rId967" Type="http://schemas.openxmlformats.org/officeDocument/2006/relationships/hyperlink" Target="https://www.huffingtonpost.es/2018/12/07/el-dardo-de-bertin-osborne-a-gabriel-rufian-y-pablo-iglesias-espana-es-el-pais-con-mas-politicos-idiotas-por-metro-cuadrado_a_23611885/" TargetMode="External"/><Relationship Id="rId1152" Type="http://schemas.openxmlformats.org/officeDocument/2006/relationships/hyperlink" Target="https://www.facebook.com/victoriandres" TargetMode="External"/><Relationship Id="rId1597" Type="http://schemas.openxmlformats.org/officeDocument/2006/relationships/hyperlink" Target="https://contrainformacion.es/iu-y-el-pce-presentan-una-querella-contra-entre-otros-el-rey-emerito-porque-esta-monarquia-no-es-trigo-limpio-aunque-hoy-nos-den-lecciones-de-democracia/" TargetMode="External"/><Relationship Id="rId2203" Type="http://schemas.openxmlformats.org/officeDocument/2006/relationships/hyperlink" Target="http://pic.twitter.com/DIMjapOq7P" TargetMode="External"/><Relationship Id="rId2410" Type="http://schemas.openxmlformats.org/officeDocument/2006/relationships/hyperlink" Target="https://rumbored.blogspot.com.es/" TargetMode="External"/><Relationship Id="rId96" Type="http://schemas.openxmlformats.org/officeDocument/2006/relationships/hyperlink" Target="https://pbs.twimg.com/media/Dt51adKXgAUVThz.jpg" TargetMode="External"/><Relationship Id="rId827" Type="http://schemas.openxmlformats.org/officeDocument/2006/relationships/hyperlink" Target="https://pbs.twimg.com/media/Dt2CbvoW4AE88N_.jpg" TargetMode="External"/><Relationship Id="rId1012" Type="http://schemas.openxmlformats.org/officeDocument/2006/relationships/hyperlink" Target="https://pbs.twimg.com/media/Dt1vKs0X4AY8R_M.jpg" TargetMode="External"/><Relationship Id="rId1457" Type="http://schemas.openxmlformats.org/officeDocument/2006/relationships/hyperlink" Target="https://pbs.twimg.com/media/Dt0VDrMWoAEDArD.jpg" TargetMode="External"/><Relationship Id="rId1664" Type="http://schemas.openxmlformats.org/officeDocument/2006/relationships/hyperlink" Target="https://www.lasexta.com/noticias/nacional/pablo-iglesias-reivindica-la-republica-y-garzon-se-querella-contra-juan-carlos-i-el-dia-en-el-que-regresaba-al-congreso-video_201812065c0935a90cf2d96fe2fae9d9.html" TargetMode="External"/><Relationship Id="rId1871" Type="http://schemas.openxmlformats.org/officeDocument/2006/relationships/hyperlink" Target="https://ift.tt/2PpwFg2" TargetMode="External"/><Relationship Id="rId2508" Type="http://schemas.openxmlformats.org/officeDocument/2006/relationships/hyperlink" Target="https://pbs.twimg.com/media/DtwdC00W4AIpQmy.jpg" TargetMode="External"/><Relationship Id="rId1317" Type="http://schemas.openxmlformats.org/officeDocument/2006/relationships/hyperlink" Target="http://www.publico.es/" TargetMode="External"/><Relationship Id="rId1524" Type="http://schemas.openxmlformats.org/officeDocument/2006/relationships/hyperlink" Target="http://www.periodistadigital.com/periodismo/prensa/2018/12/07/payasada-casposa-podemos-cuelan-logo-republica-marca-champu-wella-balsam-pablo-iglesias.shtml" TargetMode="External"/><Relationship Id="rId1731" Type="http://schemas.openxmlformats.org/officeDocument/2006/relationships/hyperlink" Target="https://twitter.com/arturelpayaso2/status/1070703901127651329" TargetMode="External"/><Relationship Id="rId1969" Type="http://schemas.openxmlformats.org/officeDocument/2006/relationships/hyperlink" Target="http://www.diarioalcazar.com/2018/12/pablo-iglesias-podria-ser-juzgado-por.html" TargetMode="External"/><Relationship Id="rId23" Type="http://schemas.openxmlformats.org/officeDocument/2006/relationships/hyperlink" Target="http://dlvr.it/Qt8GFk" TargetMode="External"/><Relationship Id="rId1829" Type="http://schemas.openxmlformats.org/officeDocument/2006/relationships/hyperlink" Target="https://www.facebook.com/profile.php?id=100011075051553" TargetMode="External"/><Relationship Id="rId2298" Type="http://schemas.openxmlformats.org/officeDocument/2006/relationships/hyperlink" Target="https://participa.podemos.info/avales-candidaturas-congreso-diputados" TargetMode="External"/><Relationship Id="rId172" Type="http://schemas.openxmlformats.org/officeDocument/2006/relationships/hyperlink" Target="https://blogs.publico.es/dominiopublico/27340/carta-al-tipo-que-mando-una-carta-a-pablo-iglesias/" TargetMode="External"/><Relationship Id="rId477" Type="http://schemas.openxmlformats.org/officeDocument/2006/relationships/hyperlink" Target="https://twitter.com/sanchezcastejon/status/1071108859635351552" TargetMode="External"/><Relationship Id="rId684" Type="http://schemas.openxmlformats.org/officeDocument/2006/relationships/hyperlink" Target="https://diariopatriota.com/santiago-abascal-pablo-iglesias-es-tan-miserable-como-sus-adorados-tiranos-chavistas/" TargetMode="External"/><Relationship Id="rId2060" Type="http://schemas.openxmlformats.org/officeDocument/2006/relationships/hyperlink" Target="https://pbs.twimg.com/media/DtwB-hwXcAAuCul.jpg" TargetMode="External"/><Relationship Id="rId2158" Type="http://schemas.openxmlformats.org/officeDocument/2006/relationships/hyperlink" Target="https://pbs.twimg.com/media/DtxK26kX4AAG4O0.jpg" TargetMode="External"/><Relationship Id="rId2365" Type="http://schemas.openxmlformats.org/officeDocument/2006/relationships/hyperlink" Target="https://twitter.com/ierrejon/status/1070364901141594112" TargetMode="External"/><Relationship Id="rId337" Type="http://schemas.openxmlformats.org/officeDocument/2006/relationships/hyperlink" Target="http://ramblalibre.com/2018/12/08/carta-a-pablo-iglesias-eres-un-botarate-rancio-al-que-solo-votan-las-emporradas/" TargetMode="External"/><Relationship Id="rId891" Type="http://schemas.openxmlformats.org/officeDocument/2006/relationships/hyperlink" Target="https://casoaislado.com/la-incitacion-al-odio-contra-vox-de-pablo-iglesias-deja-sus-primeras-victimas-dos-afiliados-son-agredidos-en-murcia/" TargetMode="External"/><Relationship Id="rId989" Type="http://schemas.openxmlformats.org/officeDocument/2006/relationships/hyperlink" Target="https://twitter.com/Miotroyo2parte/status/1071131909990875136" TargetMode="External"/><Relationship Id="rId2018" Type="http://schemas.openxmlformats.org/officeDocument/2006/relationships/hyperlink" Target="https://youtu.be/pweHNJ1jf_A" TargetMode="External"/><Relationship Id="rId544" Type="http://schemas.openxmlformats.org/officeDocument/2006/relationships/hyperlink" Target="https://www.20minutos.es/noticia/3508831/0/carta-viral-abierta-andaluz-medico-pablo-iglesias-cuando-usted-predica-pobreza-pero-compra-chale-nace-fascista-elecciones-andalucia-2018-podemos-vox/?utm_source=twitter.com&amp;utm_medium=socialshare&amp;utm_campaign=mobile_web" TargetMode="External"/><Relationship Id="rId751" Type="http://schemas.openxmlformats.org/officeDocument/2006/relationships/hyperlink" Target="http://www.outono.net/elentir/2018/12/07/el-rey-llamo-a-pablo-iglesias-para-preocuparse-por-sus-hijos-y-asi-se-lo-ha-agradecido-iglesias/" TargetMode="External"/><Relationship Id="rId849" Type="http://schemas.openxmlformats.org/officeDocument/2006/relationships/hyperlink" Target="http://pic.twitter.com/iADKUPm4Iv" TargetMode="External"/><Relationship Id="rId1174" Type="http://schemas.openxmlformats.org/officeDocument/2006/relationships/hyperlink" Target="https://youtu.be/gjuLta58Png" TargetMode="External"/><Relationship Id="rId1381" Type="http://schemas.openxmlformats.org/officeDocument/2006/relationships/hyperlink" Target="https://twitter.com/yolalco/status/1070256820206342144" TargetMode="External"/><Relationship Id="rId1479" Type="http://schemas.openxmlformats.org/officeDocument/2006/relationships/hyperlink" Target="https://pbs.twimg.com/media/Dt0QptGX4AAS0ts.jpg" TargetMode="External"/><Relationship Id="rId1686" Type="http://schemas.openxmlformats.org/officeDocument/2006/relationships/hyperlink" Target="https://www.20minutos.es/noticia/3510498/0/pablo-iglesias-corrupcion-discurso-constitucion-rey/?utm_source=twitter.com&amp;utm_medium=socialshare&amp;utm_campaign=mobile_web" TargetMode="External"/><Relationship Id="rId2225" Type="http://schemas.openxmlformats.org/officeDocument/2006/relationships/hyperlink" Target="https://pbs.twimg.com/media/Dtw_CCKX4AAAiyV.jpg" TargetMode="External"/><Relationship Id="rId2432" Type="http://schemas.openxmlformats.org/officeDocument/2006/relationships/hyperlink" Target="https://pbs.twimg.com/media/Dtwm3L6WoAE5LE-.jpg" TargetMode="External"/><Relationship Id="rId404" Type="http://schemas.openxmlformats.org/officeDocument/2006/relationships/hyperlink" Target="https://pbs.twimg.com/media/Dt4FW19X4AEDsJz.jpg" TargetMode="External"/><Relationship Id="rId611" Type="http://schemas.openxmlformats.org/officeDocument/2006/relationships/hyperlink" Target="http://www.outono.net/elentir/2018/12/07/el-rey-llamo-a-pablo-iglesias-para-preocuparse-por-sus-hijos-y-asi-se-lo-ha-agradecido-iglesias/" TargetMode="External"/><Relationship Id="rId1034" Type="http://schemas.openxmlformats.org/officeDocument/2006/relationships/hyperlink" Target="http://youtu.be/gjuLta58Png?a" TargetMode="External"/><Relationship Id="rId1241" Type="http://schemas.openxmlformats.org/officeDocument/2006/relationships/hyperlink" Target="https://contrainformacion.es/iu-y-el-pce-presentan-una-querella-contra-entre-otros-el-rey-emerito-porque-esta-monarquia-no-es-trigo-limpio-aunque-hoy-nos-den-lecciones-de-democracia/" TargetMode="External"/><Relationship Id="rId1339" Type="http://schemas.openxmlformats.org/officeDocument/2006/relationships/hyperlink" Target="http://www.malostratosfalsos.com/" TargetMode="External"/><Relationship Id="rId1893" Type="http://schemas.openxmlformats.org/officeDocument/2006/relationships/hyperlink" Target="https://www.periodistadigital.com/periodismo/prensa/2018/12/07/payasada-casposa-podemos-cuelan-logo-republica-marca-champu-wella-balsam-pablo-iglesias.shtml" TargetMode="External"/><Relationship Id="rId709" Type="http://schemas.openxmlformats.org/officeDocument/2006/relationships/hyperlink" Target="https://pbs.twimg.com/media/Dt3KashW0AAWQwZ.jpg" TargetMode="External"/><Relationship Id="rId916" Type="http://schemas.openxmlformats.org/officeDocument/2006/relationships/hyperlink" Target="https://m.huffingtonpost.es/amp/2018/12/07/el-dardo-de-bertin-osborne-a-gabriel-rufian-y-pablo-iglesias-espana-es-el-pais-con-mas-politicos-idiotas-por-metro-cuadrado_a_23611885/" TargetMode="External"/><Relationship Id="rId1101" Type="http://schemas.openxmlformats.org/officeDocument/2006/relationships/hyperlink" Target="https://pbs.twimg.com/media/Dtzv4CuXcAA5HMu.jpg" TargetMode="External"/><Relationship Id="rId1546" Type="http://schemas.openxmlformats.org/officeDocument/2006/relationships/hyperlink" Target="https://twitter.com/ivan_pietri/status/1037087705836998656" TargetMode="External"/><Relationship Id="rId1753" Type="http://schemas.openxmlformats.org/officeDocument/2006/relationships/hyperlink" Target="https://www.periodistadigital.com/periodismo/prensa/2018/12/07/payasada-casposa-podemos-cuelan-logo-republica-marca-champu-wella-balsam-pablo-iglesias.shtml" TargetMode="External"/><Relationship Id="rId1960" Type="http://schemas.openxmlformats.org/officeDocument/2006/relationships/hyperlink" Target="https://www.periodistadigital.com/periodismo/prensa/2018/12/07/payasada-casposa-podemos-cuelan-logo-republica-marca-champu-wella-balsam-pablo-iglesias.shtml" TargetMode="External"/><Relationship Id="rId45" Type="http://schemas.openxmlformats.org/officeDocument/2006/relationships/hyperlink" Target="http://ramblalibre.com/2018/12/08/carta-a-pablo-iglesias-eres-un-botarate-rancio-al-que-solo-votan-las-emporradas/" TargetMode="External"/><Relationship Id="rId1406" Type="http://schemas.openxmlformats.org/officeDocument/2006/relationships/hyperlink" Target="http://youtu.be/N1TmMZQlth8?a" TargetMode="External"/><Relationship Id="rId1613" Type="http://schemas.openxmlformats.org/officeDocument/2006/relationships/hyperlink" Target="https://twitter.com/pablo_iglesias_/status/1050434846546386945" TargetMode="External"/><Relationship Id="rId1820" Type="http://schemas.openxmlformats.org/officeDocument/2006/relationships/hyperlink" Target="https://www.mediterraneodigital.com/espana/comunidad-de-madrid/pablo-iglesias-me-da-vergueenza-como-espanol-que-exista-vox.html" TargetMode="External"/><Relationship Id="rId194" Type="http://schemas.openxmlformats.org/officeDocument/2006/relationships/hyperlink" Target="https://twitter.com/jorge_28030/status/1070791924297162753" TargetMode="External"/><Relationship Id="rId1918" Type="http://schemas.openxmlformats.org/officeDocument/2006/relationships/hyperlink" Target="https://www.elcorreodemadrid.com/nacional/44860553/El-Congreso-aplaude-al-Rey-y-deja-en-ridiculo-a-Pablo-Iglesias.html" TargetMode="External"/><Relationship Id="rId2082" Type="http://schemas.openxmlformats.org/officeDocument/2006/relationships/hyperlink" Target="https://okdiario.com/espana/2018/12/06/pablo-iglesias-reivindica-republica-como-solucion-problemas-espana-3435080" TargetMode="External"/><Relationship Id="rId261" Type="http://schemas.openxmlformats.org/officeDocument/2006/relationships/hyperlink" Target="https://blogs.publico.es/dominiopublico/27340/carta-al-tipo-que-mando-una-carta-a-pablo-iglesias/" TargetMode="External"/><Relationship Id="rId499" Type="http://schemas.openxmlformats.org/officeDocument/2006/relationships/hyperlink" Target="http://www.facebook.com/profile.php?id=100000549097887&amp;ref=tn_tinyman" TargetMode="External"/><Relationship Id="rId2387" Type="http://schemas.openxmlformats.org/officeDocument/2006/relationships/hyperlink" Target="https://twitter.com/TorresAren/status/1070633486531342336" TargetMode="External"/><Relationship Id="rId359" Type="http://schemas.openxmlformats.org/officeDocument/2006/relationships/hyperlink" Target="https://pbs.twimg.com/media/Dt46efMW4AAUH8_.jpg" TargetMode="External"/><Relationship Id="rId566" Type="http://schemas.openxmlformats.org/officeDocument/2006/relationships/hyperlink" Target="https://pbs.twimg.com/media/Dt0bCMwWoAAXK7G.jpg" TargetMode="External"/><Relationship Id="rId773" Type="http://schemas.openxmlformats.org/officeDocument/2006/relationships/hyperlink" Target="https://pbs.twimg.com/media/Dt2jWWOX4AAzWUd.jpg" TargetMode="External"/><Relationship Id="rId1196" Type="http://schemas.openxmlformats.org/officeDocument/2006/relationships/hyperlink" Target="https://pbs.twimg.com/media/Dt0LdTAW4AAo2PP.jpg" TargetMode="External"/><Relationship Id="rId2247" Type="http://schemas.openxmlformats.org/officeDocument/2006/relationships/hyperlink" Target="https://pbs.twimg.com/media/Dtw8LFWXgAAfkyb.jpg" TargetMode="External"/><Relationship Id="rId2454" Type="http://schemas.openxmlformats.org/officeDocument/2006/relationships/hyperlink" Target="https://pbs.twimg.com/media/DtwgcwmXQAUMPAi.jpg" TargetMode="External"/><Relationship Id="rId121" Type="http://schemas.openxmlformats.org/officeDocument/2006/relationships/hyperlink" Target="http://visualeslamarga.blogspot.fr/" TargetMode="External"/><Relationship Id="rId219" Type="http://schemas.openxmlformats.org/officeDocument/2006/relationships/hyperlink" Target="http://dlvr.it/Qt7k24" TargetMode="External"/><Relationship Id="rId426" Type="http://schemas.openxmlformats.org/officeDocument/2006/relationships/hyperlink" Target="https://twitter.com/arb149/status/1071343492796948480" TargetMode="External"/><Relationship Id="rId633" Type="http://schemas.openxmlformats.org/officeDocument/2006/relationships/hyperlink" Target="https://twitter.com/AdraColacau/status/1071074566691307521" TargetMode="External"/><Relationship Id="rId980" Type="http://schemas.openxmlformats.org/officeDocument/2006/relationships/hyperlink" Target="https://pbs.twimg.com/media/Dt10zaUWsAA3bQN.jpg" TargetMode="External"/><Relationship Id="rId1056" Type="http://schemas.openxmlformats.org/officeDocument/2006/relationships/hyperlink" Target="https://www.mediterraneodigital.com/espana/comunidad-de-madrid/pablo-iglesias-me-da-vergueenza-como-espanol-que-exista-vox.html" TargetMode="External"/><Relationship Id="rId1263" Type="http://schemas.openxmlformats.org/officeDocument/2006/relationships/hyperlink" Target="https://eldebate.es/politica-de-estado/las-4-menciones-a-espana-que-podemos-borro-del-discurso-de-pablo-iglesias-tras-el-2-d-20181207?utm_medium=social&amp;utm_source=sacebook&amp;utm_campaign=shareweb&amp;utm_content=footer&amp;utm_origin=footer" TargetMode="External"/><Relationship Id="rId2107" Type="http://schemas.openxmlformats.org/officeDocument/2006/relationships/hyperlink" Target="https://twitter.com/alejandrosanmo/status/1070650702240862208" TargetMode="External"/><Relationship Id="rId2314" Type="http://schemas.openxmlformats.org/officeDocument/2006/relationships/hyperlink" Target="https://twitter.com/Mggdip/status/1070770860435345419" TargetMode="External"/><Relationship Id="rId840" Type="http://schemas.openxmlformats.org/officeDocument/2006/relationships/hyperlink" Target="http://hackdosx.blogspot.com/" TargetMode="External"/><Relationship Id="rId938" Type="http://schemas.openxmlformats.org/officeDocument/2006/relationships/hyperlink" Target="https://youtu.be/Msk5PBxuCgE" TargetMode="External"/><Relationship Id="rId1470" Type="http://schemas.openxmlformats.org/officeDocument/2006/relationships/hyperlink" Target="http://podemos.info/" TargetMode="External"/><Relationship Id="rId1568" Type="http://schemas.openxmlformats.org/officeDocument/2006/relationships/hyperlink" Target="http://www.contrainformacion.es/" TargetMode="External"/><Relationship Id="rId1775" Type="http://schemas.openxmlformats.org/officeDocument/2006/relationships/hyperlink" Target="https://desatascosbaratos.com/pablo-iglesias-la-mejor-vacuna-para-no-volver-al-pasado-es-una-republica-feminista/" TargetMode="External"/><Relationship Id="rId2521" Type="http://schemas.openxmlformats.org/officeDocument/2006/relationships/hyperlink" Target="http://elparnasillo.blogspot.com.es/" TargetMode="External"/><Relationship Id="rId67" Type="http://schemas.openxmlformats.org/officeDocument/2006/relationships/hyperlink" Target="https://twitter.com/IdiazAyuso/status/1070394142969249792" TargetMode="External"/><Relationship Id="rId700" Type="http://schemas.openxmlformats.org/officeDocument/2006/relationships/hyperlink" Target="http://chng.it/vYKLDYcJ" TargetMode="External"/><Relationship Id="rId1123" Type="http://schemas.openxmlformats.org/officeDocument/2006/relationships/hyperlink" Target="http://encuestas.symmachia.es/encuestas/politica/esta-incitando-a-la-violencia-pablo-iglesias-contra-la-extrema-derecha/" TargetMode="External"/><Relationship Id="rId1330" Type="http://schemas.openxmlformats.org/officeDocument/2006/relationships/hyperlink" Target="https://www.mediterraneodigital.com/espana/mundo/increible-se-colapsa-el-sistema-de-afiliacion-de-vox-tras-la-avalancha-de-peticiones.html" TargetMode="External"/><Relationship Id="rId1428" Type="http://schemas.openxmlformats.org/officeDocument/2006/relationships/hyperlink" Target="http://podemos.info/" TargetMode="External"/><Relationship Id="rId1635" Type="http://schemas.openxmlformats.org/officeDocument/2006/relationships/hyperlink" Target="http://pic.twitter.com/ZufsbjqxE2" TargetMode="External"/><Relationship Id="rId1982" Type="http://schemas.openxmlformats.org/officeDocument/2006/relationships/hyperlink" Target="https://twitter.com/NuriaJuiba/status/1070776264154324993" TargetMode="External"/><Relationship Id="rId1842" Type="http://schemas.openxmlformats.org/officeDocument/2006/relationships/hyperlink" Target="https://twitter.com/sterlingmrch/status/1070955912712634373" TargetMode="External"/><Relationship Id="rId1702" Type="http://schemas.openxmlformats.org/officeDocument/2006/relationships/hyperlink" Target="https://www.periodistadigital.com/periodismo/prensa/2018/12/07/payasada-casposa-podemos-cuelan-logo-republica-marca-champu-wella-balsam-pablo-iglesias.shtml" TargetMode="External"/><Relationship Id="rId283" Type="http://schemas.openxmlformats.org/officeDocument/2006/relationships/hyperlink" Target="https://www.facebook.com/story.php?story_fbid=2102530733103725&amp;id=100000404576074" TargetMode="External"/><Relationship Id="rId490" Type="http://schemas.openxmlformats.org/officeDocument/2006/relationships/hyperlink" Target="https://twitter.com/Els_quatre_gats/status/560833460836007937" TargetMode="External"/><Relationship Id="rId2171" Type="http://schemas.openxmlformats.org/officeDocument/2006/relationships/hyperlink" Target="https://pbs.twimg.com/media/DtxIIYYWsAAXwIx.jpg" TargetMode="External"/><Relationship Id="rId143" Type="http://schemas.openxmlformats.org/officeDocument/2006/relationships/hyperlink" Target="http://dlvr.it/Qt7xqN" TargetMode="External"/><Relationship Id="rId350" Type="http://schemas.openxmlformats.org/officeDocument/2006/relationships/hyperlink" Target="http://chng.it/LkfSRJTP" TargetMode="External"/><Relationship Id="rId588" Type="http://schemas.openxmlformats.org/officeDocument/2006/relationships/hyperlink" Target="http://pic.twitter.com/iADKUPm4Iv" TargetMode="External"/><Relationship Id="rId795" Type="http://schemas.openxmlformats.org/officeDocument/2006/relationships/hyperlink" Target="https://pbs.twimg.com/media/Dt2eb3xXgAAFXu8.jpg" TargetMode="External"/><Relationship Id="rId2031" Type="http://schemas.openxmlformats.org/officeDocument/2006/relationships/hyperlink" Target="https://pbs.twimg.com/media/DtwmvJtW0AA4W_2.jpg" TargetMode="External"/><Relationship Id="rId2269" Type="http://schemas.openxmlformats.org/officeDocument/2006/relationships/hyperlink" Target="http://pic.twitter.com/P2gHAg2Nkf" TargetMode="External"/><Relationship Id="rId2476" Type="http://schemas.openxmlformats.org/officeDocument/2006/relationships/hyperlink" Target="https://pbs.twimg.com/media/Dtwd0h9W0AE8OIv.jpg" TargetMode="External"/><Relationship Id="rId9" Type="http://schemas.openxmlformats.org/officeDocument/2006/relationships/hyperlink" Target="https://pbs.twimg.com/media/Dt5lOywWoAEoXJV.jpg" TargetMode="External"/><Relationship Id="rId210" Type="http://schemas.openxmlformats.org/officeDocument/2006/relationships/hyperlink" Target="http://dlvr.it/Qt7lqB" TargetMode="External"/><Relationship Id="rId448" Type="http://schemas.openxmlformats.org/officeDocument/2006/relationships/hyperlink" Target="https://youtu.be/3RkLe1Z7hp4" TargetMode="External"/><Relationship Id="rId655" Type="http://schemas.openxmlformats.org/officeDocument/2006/relationships/hyperlink" Target="http://www.periodistadigital.com/" TargetMode="External"/><Relationship Id="rId862" Type="http://schemas.openxmlformats.org/officeDocument/2006/relationships/hyperlink" Target="https://pbs.twimg.com/media/Dt2MyutXgAADZaW.jpg" TargetMode="External"/><Relationship Id="rId1078" Type="http://schemas.openxmlformats.org/officeDocument/2006/relationships/hyperlink" Target="https://www.naciodigital.cat/noticia/168437/salari/minim/900/euros/sera/efectiu/gener/decret" TargetMode="External"/><Relationship Id="rId1285" Type="http://schemas.openxmlformats.org/officeDocument/2006/relationships/hyperlink" Target="http://www.clubcaterpillarmotor.com/" TargetMode="External"/><Relationship Id="rId1492" Type="http://schemas.openxmlformats.org/officeDocument/2006/relationships/hyperlink" Target="https://ift.tt/2PmAToF" TargetMode="External"/><Relationship Id="rId2129" Type="http://schemas.openxmlformats.org/officeDocument/2006/relationships/hyperlink" Target="http://ww.cope.es/1hlzo1" TargetMode="External"/><Relationship Id="rId2336" Type="http://schemas.openxmlformats.org/officeDocument/2006/relationships/hyperlink" Target="https://pbs.twimg.com/media/Dtqgz7jWsAEpx1R.jpg" TargetMode="External"/><Relationship Id="rId2543" Type="http://schemas.openxmlformats.org/officeDocument/2006/relationships/hyperlink" Target="http://gaab75.blogspot.com/" TargetMode="External"/><Relationship Id="rId308" Type="http://schemas.openxmlformats.org/officeDocument/2006/relationships/hyperlink" Target="https://elpais.com/sociedad/2018/12/07/actualidad/1544214168_188008.html" TargetMode="External"/><Relationship Id="rId515" Type="http://schemas.openxmlformats.org/officeDocument/2006/relationships/hyperlink" Target="http://dlvr.it/QssnQf" TargetMode="External"/><Relationship Id="rId722" Type="http://schemas.openxmlformats.org/officeDocument/2006/relationships/hyperlink" Target="http://pic.twitter.com/CjsguBoNiI" TargetMode="External"/><Relationship Id="rId1145" Type="http://schemas.openxmlformats.org/officeDocument/2006/relationships/hyperlink" Target="http://curiouscat.me/cactusfurioso" TargetMode="External"/><Relationship Id="rId1352" Type="http://schemas.openxmlformats.org/officeDocument/2006/relationships/hyperlink" Target="http://www.lasexta.com/programas/zapeando" TargetMode="External"/><Relationship Id="rId1797" Type="http://schemas.openxmlformats.org/officeDocument/2006/relationships/hyperlink" Target="https://okdiario.com/espana/2018/12/05/iglesias-plantea-ciudadanos-que-ponga-encima-mesa-acuerdo-andalucia-3430367" TargetMode="External"/><Relationship Id="rId2403" Type="http://schemas.openxmlformats.org/officeDocument/2006/relationships/hyperlink" Target="https://www.elplural.com/politica/video-errejon-se-presenta-para-coser-espana_207632102" TargetMode="External"/><Relationship Id="rId89" Type="http://schemas.openxmlformats.org/officeDocument/2006/relationships/hyperlink" Target="https://pbs.twimg.com/media/Dt521YhVsAA01bO.jpg" TargetMode="External"/><Relationship Id="rId1005" Type="http://schemas.openxmlformats.org/officeDocument/2006/relationships/hyperlink" Target="http://pic.twitter.com/UboHisoDS6" TargetMode="External"/><Relationship Id="rId1212" Type="http://schemas.openxmlformats.org/officeDocument/2006/relationships/hyperlink" Target="https://twitter.com/perezreverte/status/1071045025642020869" TargetMode="External"/><Relationship Id="rId1657" Type="http://schemas.openxmlformats.org/officeDocument/2006/relationships/hyperlink" Target="https://maldita.es/bulo/no-esta-foto-de-un-supuesto-pablo-iglesias-cazando-con-un-rifle-no-es-real" TargetMode="External"/><Relationship Id="rId1864" Type="http://schemas.openxmlformats.org/officeDocument/2006/relationships/hyperlink" Target="https://casoaislado.com/los-espanoles-piden-la-detencion-pablo-iglesias-instigador-las-violentas-manifestaciones-andalucia/" TargetMode="External"/><Relationship Id="rId1517" Type="http://schemas.openxmlformats.org/officeDocument/2006/relationships/hyperlink" Target="https://youtu.be/3eLKQ-zSPsk" TargetMode="External"/><Relationship Id="rId1724" Type="http://schemas.openxmlformats.org/officeDocument/2006/relationships/hyperlink" Target="https://pbs.twimg.com/media/DtzhZDMW0AAQ2K4.jpg" TargetMode="External"/><Relationship Id="rId16" Type="http://schemas.openxmlformats.org/officeDocument/2006/relationships/hyperlink" Target="https://www.elmundo.es/baleares/2018/12/07/5c0a31e8fc6c83ee428b45c5.html" TargetMode="External"/><Relationship Id="rId1931" Type="http://schemas.openxmlformats.org/officeDocument/2006/relationships/hyperlink" Target="https://www.periodistadigital.com/periodismo/prensa/2018/12/07/payasada-casposa-podemos-cuelan-logo-republica-marca-champu-wella-balsam-pablo-iglesias.shtml" TargetMode="External"/><Relationship Id="rId2193" Type="http://schemas.openxmlformats.org/officeDocument/2006/relationships/hyperlink" Target="https://www.dailymotion.com/video/x6yi1ir" TargetMode="External"/><Relationship Id="rId2498" Type="http://schemas.openxmlformats.org/officeDocument/2006/relationships/hyperlink" Target="https://twitter.com/ierrejon/status/1070662576810405888" TargetMode="External"/><Relationship Id="rId165" Type="http://schemas.openxmlformats.org/officeDocument/2006/relationships/hyperlink" Target="http://chng.it/xqTykCNC" TargetMode="External"/><Relationship Id="rId372" Type="http://schemas.openxmlformats.org/officeDocument/2006/relationships/hyperlink" Target="https://pbs.twimg.com/media/Dt47-iXXQAUezDN.jpg" TargetMode="External"/><Relationship Id="rId677" Type="http://schemas.openxmlformats.org/officeDocument/2006/relationships/hyperlink" Target="http://chng.it/N5qWB8ZY" TargetMode="External"/><Relationship Id="rId2053" Type="http://schemas.openxmlformats.org/officeDocument/2006/relationships/hyperlink" Target="https://twitter.com/arturelpayaso2/status/1070703901127651329" TargetMode="External"/><Relationship Id="rId2260" Type="http://schemas.openxmlformats.org/officeDocument/2006/relationships/hyperlink" Target="https://pbs.twimg.com/media/DtwB-hwXcAAuCul.jpg" TargetMode="External"/><Relationship Id="rId2358" Type="http://schemas.openxmlformats.org/officeDocument/2006/relationships/hyperlink" Target="https://twitter.com/anti_merma50/status/1070203732061814784" TargetMode="External"/><Relationship Id="rId232" Type="http://schemas.openxmlformats.org/officeDocument/2006/relationships/hyperlink" Target="http://youtu.be/UVtmdL-8zXw?a" TargetMode="External"/><Relationship Id="rId884" Type="http://schemas.openxmlformats.org/officeDocument/2006/relationships/hyperlink" Target="https://twitter.com/infiltradoxxx/status/1070783826413129729" TargetMode="External"/><Relationship Id="rId2120" Type="http://schemas.openxmlformats.org/officeDocument/2006/relationships/hyperlink" Target="http://www.sumarium.es/" TargetMode="External"/><Relationship Id="rId2565" Type="http://schemas.openxmlformats.org/officeDocument/2006/relationships/hyperlink" Target="https://www.europapress.es/nacional/noticia-pablo-iglesias-critica-discurso-decepcionante-rey-ovacion-sobreactuada-juan-carlos-20181206140752.html" TargetMode="External"/><Relationship Id="rId537" Type="http://schemas.openxmlformats.org/officeDocument/2006/relationships/hyperlink" Target="http://www.casoaislado.com/" TargetMode="External"/><Relationship Id="rId744" Type="http://schemas.openxmlformats.org/officeDocument/2006/relationships/hyperlink" Target="https://www.laopiniondemalaga.es/buzzeando/2018/12/04/medico-sedella-viraliza-carta-pablo/1052131.html" TargetMode="External"/><Relationship Id="rId951" Type="http://schemas.openxmlformats.org/officeDocument/2006/relationships/hyperlink" Target="https://pbs.twimg.com/media/Dt15c3BWkAA4dF7.jpg" TargetMode="External"/><Relationship Id="rId1167" Type="http://schemas.openxmlformats.org/officeDocument/2006/relationships/hyperlink" Target="https://pbs.twimg.com/media/Dt1SOvwX4AIcB54.jpg" TargetMode="External"/><Relationship Id="rId1374" Type="http://schemas.openxmlformats.org/officeDocument/2006/relationships/hyperlink" Target="https://pbs.twimg.com/media/Dt0jvJzWsAA4x_4.jpg" TargetMode="External"/><Relationship Id="rId1581" Type="http://schemas.openxmlformats.org/officeDocument/2006/relationships/hyperlink" Target="https://www.facebook.com/1257594960/posts/10213002556439430/" TargetMode="External"/><Relationship Id="rId1679" Type="http://schemas.openxmlformats.org/officeDocument/2006/relationships/hyperlink" Target="https://twitter.com/ahorapodemos/status/1070633150353760256" TargetMode="External"/><Relationship Id="rId2218" Type="http://schemas.openxmlformats.org/officeDocument/2006/relationships/hyperlink" Target="https://www.abc.es/espana/abci-pablo-iglesias-agradece-llamada-reyes-preguntando-hijos-201809031938_noticia.html" TargetMode="External"/><Relationship Id="rId2425" Type="http://schemas.openxmlformats.org/officeDocument/2006/relationships/hyperlink" Target="https://twitter.com/antoniocruzzgz/status/1070714752119250949" TargetMode="External"/><Relationship Id="rId80" Type="http://schemas.openxmlformats.org/officeDocument/2006/relationships/hyperlink" Target="http://dlvr.it/Qt8842" TargetMode="External"/><Relationship Id="rId604" Type="http://schemas.openxmlformats.org/officeDocument/2006/relationships/hyperlink" Target="https://twitter.com/Nanchinho/status/1070800587527282689" TargetMode="External"/><Relationship Id="rId811" Type="http://schemas.openxmlformats.org/officeDocument/2006/relationships/hyperlink" Target="https://eldebate.es/politica-de-estado/las-4-menciones-a-espana-que-podemos-borro-del-discurso-de-pablo-iglesias-tras-el-2-d-20181207?utm_medium=social&amp;utm_source=twitter&amp;utm_campaign=shareweb&amp;utm_content=footer&amp;utm_origin=footer" TargetMode="External"/><Relationship Id="rId1027" Type="http://schemas.openxmlformats.org/officeDocument/2006/relationships/hyperlink" Target="http://www.florit-abogados.com/" TargetMode="External"/><Relationship Id="rId1234" Type="http://schemas.openxmlformats.org/officeDocument/2006/relationships/hyperlink" Target="https://twitter.com/OliverLopezCano/status/1070680937762119682" TargetMode="External"/><Relationship Id="rId1441" Type="http://schemas.openxmlformats.org/officeDocument/2006/relationships/hyperlink" Target="https://pbs.twimg.com/media/Dt0Ynd3X4AE1SCG.jpg" TargetMode="External"/><Relationship Id="rId1886" Type="http://schemas.openxmlformats.org/officeDocument/2006/relationships/hyperlink" Target="https://www.laverdad.es/murcia/miembros-denuncian-haber-20181207005415-ntvo.html" TargetMode="External"/><Relationship Id="rId909" Type="http://schemas.openxmlformats.org/officeDocument/2006/relationships/hyperlink" Target="http://page.is/larevuelo53" TargetMode="External"/><Relationship Id="rId1301" Type="http://schemas.openxmlformats.org/officeDocument/2006/relationships/hyperlink" Target="http://youtu.be/czilj5GA9ic?a" TargetMode="External"/><Relationship Id="rId1539" Type="http://schemas.openxmlformats.org/officeDocument/2006/relationships/hyperlink" Target="https://www.esdiario.com/781025410/Pablo-Iglesias-se-desespera-al-quedarse-solo-en-su-caceria-al-Rey-Juan-Carlos.html" TargetMode="External"/><Relationship Id="rId1746" Type="http://schemas.openxmlformats.org/officeDocument/2006/relationships/hyperlink" Target="https://pbs.twimg.com/media/DtzcrIBX4AA8pWN.jpg" TargetMode="External"/><Relationship Id="rId1953" Type="http://schemas.openxmlformats.org/officeDocument/2006/relationships/hyperlink" Target="https://www.periodistadigital.com/periodismo/prensa/2018/12/07/payasada-casposa-podemos-cuelan-logo-republica-marca-champu-wella-balsam-pablo-iglesias.shtml" TargetMode="External"/><Relationship Id="rId38" Type="http://schemas.openxmlformats.org/officeDocument/2006/relationships/hyperlink" Target="https://www.periodistadigital.com/opinion/cartas-al-director/2018/12/08/carta-abierta-de-santiago-abascal-a-pablo-iglesias-lo-tienes-crudo.shtml" TargetMode="External"/><Relationship Id="rId1606" Type="http://schemas.openxmlformats.org/officeDocument/2006/relationships/hyperlink" Target="https://pbs.twimg.com/media/DtzmlZbX4AAdk4K.jpg" TargetMode="External"/><Relationship Id="rId1813" Type="http://schemas.openxmlformats.org/officeDocument/2006/relationships/hyperlink" Target="https://www.instagram.com/david_rmadrid88/?hl=es" TargetMode="External"/><Relationship Id="rId187" Type="http://schemas.openxmlformats.org/officeDocument/2006/relationships/hyperlink" Target="https://twitter.com/Carola2hope/status/1071127505627541504" TargetMode="External"/><Relationship Id="rId394" Type="http://schemas.openxmlformats.org/officeDocument/2006/relationships/hyperlink" Target="https://www.elmundo.es/loc/famosos/2018/12/08/5c0a3ffffc6c8320198b45e5.html" TargetMode="External"/><Relationship Id="rId2075" Type="http://schemas.openxmlformats.org/officeDocument/2006/relationships/hyperlink" Target="http://noticiasvenezuela.org/" TargetMode="External"/><Relationship Id="rId2282" Type="http://schemas.openxmlformats.org/officeDocument/2006/relationships/hyperlink" Target="https://pbs.twimg.com/media/Dtw46GBXQAEHQWW.jpg" TargetMode="External"/><Relationship Id="rId254" Type="http://schemas.openxmlformats.org/officeDocument/2006/relationships/hyperlink" Target="http://podemos.info/" TargetMode="External"/><Relationship Id="rId699" Type="http://schemas.openxmlformats.org/officeDocument/2006/relationships/hyperlink" Target="https://elpais.com/politica/2018/11/28/actualidad/1543424221_050040.html" TargetMode="External"/><Relationship Id="rId1091" Type="http://schemas.openxmlformats.org/officeDocument/2006/relationships/hyperlink" Target="http://derechosocultosespana.blogspot.com.es/2018/05/mientras-no-consigamos-entre-todos-e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2329"/>
  <sheetViews>
    <sheetView tabSelected="1" workbookViewId="0">
      <pane ySplit="2" topLeftCell="A3" activePane="bottomLeft" state="frozen"/>
      <selection pane="bottomLeft" activeCell="D2" sqref="D1:D1048576"/>
    </sheetView>
  </sheetViews>
  <sheetFormatPr defaultColWidth="14.44140625" defaultRowHeight="15.75" customHeight="1"/>
  <cols>
    <col min="1" max="1" width="15.33203125" customWidth="1"/>
    <col min="3" max="3" width="16.33203125" customWidth="1"/>
    <col min="4" max="4" width="41.5546875" customWidth="1"/>
    <col min="5" max="5" width="17.6640625" customWidth="1"/>
    <col min="6" max="11" width="16.109375" customWidth="1"/>
    <col min="12" max="16" width="11.109375" customWidth="1"/>
    <col min="18" max="18" width="34.33203125" customWidth="1"/>
    <col min="19" max="19" width="19.6640625" customWidth="1"/>
    <col min="20" max="21" width="12" customWidth="1"/>
  </cols>
  <sheetData>
    <row r="1" spans="1:21" ht="25.5" customHeight="1">
      <c r="A1" s="30" t="s">
        <v>1</v>
      </c>
      <c r="B1" s="31"/>
      <c r="C1" s="31"/>
      <c r="D1" s="31"/>
      <c r="E1" s="31"/>
      <c r="F1" s="31"/>
      <c r="G1" s="31"/>
      <c r="H1" s="31"/>
      <c r="I1" s="31"/>
      <c r="J1" s="31"/>
      <c r="K1" s="31"/>
      <c r="L1" s="32" t="s">
        <v>2</v>
      </c>
      <c r="M1" s="31"/>
      <c r="N1" s="31"/>
      <c r="O1" s="31"/>
      <c r="P1" s="31"/>
      <c r="Q1" s="31"/>
      <c r="R1" s="31"/>
      <c r="S1" s="31"/>
      <c r="T1" s="31"/>
      <c r="U1" s="31"/>
    </row>
    <row r="2" spans="1:21" ht="29.25" customHeight="1">
      <c r="A2" s="1" t="s">
        <v>0</v>
      </c>
      <c r="B2" s="2" t="s">
        <v>3</v>
      </c>
      <c r="C2" s="2" t="s">
        <v>4</v>
      </c>
      <c r="D2" s="3" t="s">
        <v>5</v>
      </c>
      <c r="E2" s="4" t="s">
        <v>6</v>
      </c>
      <c r="F2" s="4" t="s">
        <v>7</v>
      </c>
      <c r="G2" s="4" t="s">
        <v>8</v>
      </c>
      <c r="H2" s="4" t="s">
        <v>9</v>
      </c>
      <c r="I2" s="2" t="s">
        <v>10</v>
      </c>
      <c r="J2" s="2" t="s">
        <v>11</v>
      </c>
      <c r="K2" s="4" t="s">
        <v>12</v>
      </c>
      <c r="L2" s="2" t="s">
        <v>13</v>
      </c>
      <c r="M2" s="2" t="s">
        <v>14</v>
      </c>
      <c r="N2" s="4" t="s">
        <v>15</v>
      </c>
      <c r="O2" s="4" t="s">
        <v>16</v>
      </c>
      <c r="P2" s="4" t="s">
        <v>17</v>
      </c>
      <c r="Q2" s="4" t="s">
        <v>9</v>
      </c>
      <c r="R2" s="5" t="s">
        <v>18</v>
      </c>
      <c r="S2" s="4" t="s">
        <v>19</v>
      </c>
      <c r="T2" s="4" t="s">
        <v>20</v>
      </c>
      <c r="U2" s="4" t="s">
        <v>21</v>
      </c>
    </row>
    <row r="3" spans="1:21" ht="30.6">
      <c r="A3" s="6">
        <v>43442.734236111108</v>
      </c>
      <c r="B3" s="7" t="str">
        <f>HYPERLINK("https://twitter.com/ppmadrid","@ppmadrid")</f>
        <v>@ppmadrid</v>
      </c>
      <c r="C3" s="8" t="s">
        <v>22</v>
      </c>
      <c r="D3" s="9" t="s">
        <v>23</v>
      </c>
      <c r="E3" s="10" t="str">
        <f>HYPERLINK("https://twitter.com/ppmadrid/status/1071443613031256064","1071443613031256064")</f>
        <v>1071443613031256064</v>
      </c>
      <c r="F3" s="11"/>
      <c r="G3" s="12" t="s">
        <v>24</v>
      </c>
      <c r="H3" s="11"/>
      <c r="I3" s="13">
        <v>0</v>
      </c>
      <c r="J3" s="13">
        <v>0</v>
      </c>
      <c r="K3" s="14" t="str">
        <f>HYPERLINK("http://twitter.com/download/iphone","Twitter for iPhone")</f>
        <v>Twitter for iPhone</v>
      </c>
      <c r="L3" s="13">
        <v>101951</v>
      </c>
      <c r="M3" s="13">
        <v>5995</v>
      </c>
      <c r="N3" s="13">
        <v>982</v>
      </c>
      <c r="O3" s="16" t="s">
        <v>25</v>
      </c>
      <c r="P3" s="6">
        <v>39827.687893518516</v>
      </c>
      <c r="Q3" s="18" t="s">
        <v>26</v>
      </c>
      <c r="R3" s="19" t="s">
        <v>27</v>
      </c>
      <c r="S3" s="12" t="s">
        <v>29</v>
      </c>
      <c r="T3" s="11"/>
      <c r="U3" s="10" t="str">
        <f>HYPERLINK("https://pbs.twimg.com/profile_images/1053557531111538693/SBAQ7f5C.jpg","View")</f>
        <v>View</v>
      </c>
    </row>
    <row r="4" spans="1:21" ht="40.799999999999997">
      <c r="A4" s="6">
        <v>43442.734097222223</v>
      </c>
      <c r="B4" s="7" t="str">
        <f>HYPERLINK("https://twitter.com/LUISJORDAN1959","@LUISJORDAN1959")</f>
        <v>@LUISJORDAN1959</v>
      </c>
      <c r="C4" s="8" t="s">
        <v>32</v>
      </c>
      <c r="D4" s="9" t="s">
        <v>33</v>
      </c>
      <c r="E4" s="10" t="str">
        <f>HYPERLINK("https://twitter.com/LUISJORDAN1959/status/1071443564612280320","1071443564612280320")</f>
        <v>1071443564612280320</v>
      </c>
      <c r="F4" s="12" t="s">
        <v>34</v>
      </c>
      <c r="G4" s="11"/>
      <c r="H4" s="11"/>
      <c r="I4" s="13">
        <v>0</v>
      </c>
      <c r="J4" s="13">
        <v>0</v>
      </c>
      <c r="K4" s="14" t="str">
        <f>HYPERLINK("http://www.facebook.com/twitter","Facebook")</f>
        <v>Facebook</v>
      </c>
      <c r="L4" s="13">
        <v>1165</v>
      </c>
      <c r="M4" s="13">
        <v>1930</v>
      </c>
      <c r="N4" s="13">
        <v>40</v>
      </c>
      <c r="O4" s="15"/>
      <c r="P4" s="6">
        <v>40044.836388888885</v>
      </c>
      <c r="Q4" s="18" t="s">
        <v>35</v>
      </c>
      <c r="R4" s="19" t="s">
        <v>36</v>
      </c>
      <c r="S4" s="12" t="s">
        <v>37</v>
      </c>
      <c r="T4" s="11"/>
      <c r="U4" s="10" t="str">
        <f>HYPERLINK("https://pbs.twimg.com/profile_images/410975084/LUIS.jpg","View")</f>
        <v>View</v>
      </c>
    </row>
    <row r="5" spans="1:21" ht="20.399999999999999">
      <c r="A5" s="6">
        <v>43442.73137731482</v>
      </c>
      <c r="B5" s="7" t="str">
        <f>HYPERLINK("https://twitter.com/el__alcazar","@el__alcazar")</f>
        <v>@el__alcazar</v>
      </c>
      <c r="C5" s="8" t="s">
        <v>38</v>
      </c>
      <c r="D5" s="9" t="s">
        <v>39</v>
      </c>
      <c r="E5" s="10" t="str">
        <f>HYPERLINK("https://twitter.com/el__alcazar/status/1071442576069275648","1071442576069275648")</f>
        <v>1071442576069275648</v>
      </c>
      <c r="F5" s="12" t="s">
        <v>40</v>
      </c>
      <c r="G5" s="11"/>
      <c r="H5" s="11"/>
      <c r="I5" s="13">
        <v>0</v>
      </c>
      <c r="J5" s="13">
        <v>0</v>
      </c>
      <c r="K5" s="14" t="str">
        <f t="shared" ref="K5:K6" si="0">HYPERLINK("http://twitter.com/download/android","Twitter for Android")</f>
        <v>Twitter for Android</v>
      </c>
      <c r="L5" s="13">
        <v>361</v>
      </c>
      <c r="M5" s="13">
        <v>449</v>
      </c>
      <c r="N5" s="13">
        <v>1</v>
      </c>
      <c r="O5" s="15"/>
      <c r="P5" s="6">
        <v>43252.76961805555</v>
      </c>
      <c r="Q5" s="18" t="s">
        <v>42</v>
      </c>
      <c r="R5" s="19" t="s">
        <v>43</v>
      </c>
      <c r="S5" s="11"/>
      <c r="T5" s="11"/>
      <c r="U5" s="10" t="str">
        <f>HYPERLINK("https://pbs.twimg.com/profile_images/1002588542390939648/4xDCxZGb.jpg","View")</f>
        <v>View</v>
      </c>
    </row>
    <row r="6" spans="1:21" ht="30.6">
      <c r="A6" s="6">
        <v>43442.731030092589</v>
      </c>
      <c r="B6" s="7" t="str">
        <f>HYPERLINK("https://twitter.com/kodiario_","@kodiario_")</f>
        <v>@kodiario_</v>
      </c>
      <c r="C6" s="8" t="s">
        <v>45</v>
      </c>
      <c r="D6" s="9" t="s">
        <v>46</v>
      </c>
      <c r="E6" s="10" t="str">
        <f>HYPERLINK("https://twitter.com/kodiario_/status/1071442449455816704","1071442449455816704")</f>
        <v>1071442449455816704</v>
      </c>
      <c r="F6" s="12" t="s">
        <v>49</v>
      </c>
      <c r="G6" s="11"/>
      <c r="H6" s="11"/>
      <c r="I6" s="13">
        <v>0</v>
      </c>
      <c r="J6" s="13">
        <v>0</v>
      </c>
      <c r="K6" s="14" t="str">
        <f t="shared" si="0"/>
        <v>Twitter for Android</v>
      </c>
      <c r="L6" s="13">
        <v>4619</v>
      </c>
      <c r="M6" s="13">
        <v>332</v>
      </c>
      <c r="N6" s="13">
        <v>58</v>
      </c>
      <c r="O6" s="15"/>
      <c r="P6" s="6">
        <v>42564.053425925929</v>
      </c>
      <c r="Q6" s="11"/>
      <c r="R6" s="19" t="s">
        <v>54</v>
      </c>
      <c r="S6" s="11"/>
      <c r="T6" s="11"/>
      <c r="U6" s="10" t="str">
        <f>HYPERLINK("https://pbs.twimg.com/profile_images/977352060571148288/z2lxbv4P.jpg","View")</f>
        <v>View</v>
      </c>
    </row>
    <row r="7" spans="1:21" ht="40.799999999999997">
      <c r="A7" s="6">
        <v>43442.730138888888</v>
      </c>
      <c r="B7" s="7" t="str">
        <f>HYPERLINK("https://twitter.com/victor1946","@victor1946")</f>
        <v>@victor1946</v>
      </c>
      <c r="C7" s="8" t="s">
        <v>58</v>
      </c>
      <c r="D7" s="9" t="s">
        <v>59</v>
      </c>
      <c r="E7" s="10" t="str">
        <f>HYPERLINK("https://twitter.com/victor1946/status/1071442126519631873","1071442126519631873")</f>
        <v>1071442126519631873</v>
      </c>
      <c r="F7" s="12" t="s">
        <v>62</v>
      </c>
      <c r="G7" s="11"/>
      <c r="H7" s="11"/>
      <c r="I7" s="13">
        <v>0</v>
      </c>
      <c r="J7" s="13">
        <v>0</v>
      </c>
      <c r="K7" s="14" t="str">
        <f>HYPERLINK("http://twitter.com","Twitter Web Client")</f>
        <v>Twitter Web Client</v>
      </c>
      <c r="L7" s="13">
        <v>1160</v>
      </c>
      <c r="M7" s="13">
        <v>1808</v>
      </c>
      <c r="N7" s="13">
        <v>18</v>
      </c>
      <c r="O7" s="15"/>
      <c r="P7" s="6">
        <v>40026.993773148148</v>
      </c>
      <c r="Q7" s="18" t="s">
        <v>64</v>
      </c>
      <c r="R7" s="19" t="s">
        <v>65</v>
      </c>
      <c r="S7" s="12" t="s">
        <v>66</v>
      </c>
      <c r="T7" s="11"/>
      <c r="U7" s="10" t="str">
        <f>HYPERLINK("https://pbs.twimg.com/profile_images/893563128851640324/KjspNBPM.jpg","View")</f>
        <v>View</v>
      </c>
    </row>
    <row r="8" spans="1:21" ht="30.6">
      <c r="A8" s="6">
        <v>43442.728518518517</v>
      </c>
      <c r="B8" s="7" t="str">
        <f>HYPERLINK("https://twitter.com/Francis98204014","@Francis98204014")</f>
        <v>@Francis98204014</v>
      </c>
      <c r="C8" s="8" t="s">
        <v>70</v>
      </c>
      <c r="D8" s="9" t="s">
        <v>71</v>
      </c>
      <c r="E8" s="10" t="str">
        <f>HYPERLINK("https://twitter.com/Francis98204014/status/1071441540227190784","1071441540227190784")</f>
        <v>1071441540227190784</v>
      </c>
      <c r="F8" s="18" t="s">
        <v>73</v>
      </c>
      <c r="G8" s="12" t="s">
        <v>74</v>
      </c>
      <c r="H8" s="11"/>
      <c r="I8" s="13">
        <v>3</v>
      </c>
      <c r="J8" s="13">
        <v>1</v>
      </c>
      <c r="K8" s="14" t="str">
        <f>HYPERLINK("http://twitter.com/download/android","Twitter for Android")</f>
        <v>Twitter for Android</v>
      </c>
      <c r="L8" s="13">
        <v>5457</v>
      </c>
      <c r="M8" s="13">
        <v>5195</v>
      </c>
      <c r="N8" s="13">
        <v>79</v>
      </c>
      <c r="O8" s="15"/>
      <c r="P8" s="6">
        <v>42023.979328703703</v>
      </c>
      <c r="Q8" s="11"/>
      <c r="R8" s="17"/>
      <c r="S8" s="11"/>
      <c r="T8" s="11"/>
      <c r="U8" s="10" t="str">
        <f>HYPERLINK("https://pbs.twimg.com/profile_images/557305420625502208/DgZmRbYl.jpeg","View")</f>
        <v>View</v>
      </c>
    </row>
    <row r="9" spans="1:21" ht="40.799999999999997">
      <c r="A9" s="6">
        <v>43442.728090277778</v>
      </c>
      <c r="B9" s="7" t="str">
        <f>HYPERLINK("https://twitter.com/QuieroVotarYa","@QuieroVotarYa")</f>
        <v>@QuieroVotarYa</v>
      </c>
      <c r="C9" s="20" t="s">
        <v>81</v>
      </c>
      <c r="D9" s="9" t="s">
        <v>84</v>
      </c>
      <c r="E9" s="10" t="str">
        <f>HYPERLINK("https://twitter.com/QuieroVotarYa/status/1071441386363330562","1071441386363330562")</f>
        <v>1071441386363330562</v>
      </c>
      <c r="F9" s="12" t="s">
        <v>86</v>
      </c>
      <c r="G9" s="11"/>
      <c r="H9" s="11"/>
      <c r="I9" s="13">
        <v>2</v>
      </c>
      <c r="J9" s="13">
        <v>2</v>
      </c>
      <c r="K9" s="14" t="str">
        <f>HYPERLINK("http://twitter.com","Twitter Web Client")</f>
        <v>Twitter Web Client</v>
      </c>
      <c r="L9" s="13">
        <v>6245</v>
      </c>
      <c r="M9" s="13">
        <v>5436</v>
      </c>
      <c r="N9" s="13">
        <v>44</v>
      </c>
      <c r="O9" s="15"/>
      <c r="P9" s="6">
        <v>41000.472858796296</v>
      </c>
      <c r="Q9" s="18" t="s">
        <v>89</v>
      </c>
      <c r="R9" s="19" t="s">
        <v>90</v>
      </c>
      <c r="S9" s="11"/>
      <c r="T9" s="11"/>
      <c r="U9" s="10" t="str">
        <f>HYPERLINK("https://pbs.twimg.com/profile_images/1067819628620058624/j8NLcPs3.jpg","View")</f>
        <v>View</v>
      </c>
    </row>
    <row r="10" spans="1:21" ht="71.400000000000006">
      <c r="A10" s="6">
        <v>43442.723981481482</v>
      </c>
      <c r="B10" s="7" t="str">
        <f>HYPERLINK("https://twitter.com/RomanEncabo","@RomanEncabo")</f>
        <v>@RomanEncabo</v>
      </c>
      <c r="C10" s="8" t="s">
        <v>50</v>
      </c>
      <c r="D10" s="9" t="s">
        <v>51</v>
      </c>
      <c r="E10" s="10" t="str">
        <f>HYPERLINK("https://twitter.com/RomanEncabo/status/1071439896571723776","1071439896571723776")</f>
        <v>1071439896571723776</v>
      </c>
      <c r="F10" s="18" t="s">
        <v>53</v>
      </c>
      <c r="G10" s="11"/>
      <c r="H10" s="11"/>
      <c r="I10" s="13">
        <v>0</v>
      </c>
      <c r="J10" s="13">
        <v>0</v>
      </c>
      <c r="K10" s="14" t="str">
        <f>HYPERLINK("http://twitter.com/download/android","Twitter for Android")</f>
        <v>Twitter for Android</v>
      </c>
      <c r="L10" s="13">
        <v>487</v>
      </c>
      <c r="M10" s="13">
        <v>977</v>
      </c>
      <c r="N10" s="13">
        <v>16</v>
      </c>
      <c r="O10" s="15"/>
      <c r="P10" s="6">
        <v>42366.438194444447</v>
      </c>
      <c r="Q10" s="11"/>
      <c r="R10" s="19" t="s">
        <v>55</v>
      </c>
      <c r="S10" s="11"/>
      <c r="T10" s="11"/>
      <c r="U10" s="10" t="str">
        <f>HYPERLINK("https://pbs.twimg.com/profile_images/703986254933860353/Co4yt9y6.jpg","View")</f>
        <v>View</v>
      </c>
    </row>
    <row r="11" spans="1:21" ht="40.799999999999997">
      <c r="A11" s="6">
        <v>43442.723287037035</v>
      </c>
      <c r="B11" s="7" t="str">
        <f>HYPERLINK("https://twitter.com/nisenicontesto","@nisenicontesto")</f>
        <v>@nisenicontesto</v>
      </c>
      <c r="C11" s="8" t="s">
        <v>105</v>
      </c>
      <c r="D11" s="9" t="s">
        <v>106</v>
      </c>
      <c r="E11" s="10" t="str">
        <f>HYPERLINK("https://twitter.com/nisenicontesto/status/1071439645886558209","1071439645886558209")</f>
        <v>1071439645886558209</v>
      </c>
      <c r="F11" s="12" t="s">
        <v>112</v>
      </c>
      <c r="G11" s="11"/>
      <c r="H11" s="11"/>
      <c r="I11" s="13">
        <v>0</v>
      </c>
      <c r="J11" s="13">
        <v>0</v>
      </c>
      <c r="K11" s="14" t="str">
        <f>HYPERLINK("http://twitter.com/download/iphone","Twitter for iPhone")</f>
        <v>Twitter for iPhone</v>
      </c>
      <c r="L11" s="13">
        <v>1077</v>
      </c>
      <c r="M11" s="13">
        <v>788</v>
      </c>
      <c r="N11" s="13">
        <v>24</v>
      </c>
      <c r="O11" s="15"/>
      <c r="P11" s="6">
        <v>40696.930567129632</v>
      </c>
      <c r="Q11" s="18" t="s">
        <v>114</v>
      </c>
      <c r="R11" s="19" t="s">
        <v>116</v>
      </c>
      <c r="S11" s="11"/>
      <c r="T11" s="11"/>
      <c r="U11" s="10" t="str">
        <f>HYPERLINK("https://pbs.twimg.com/profile_images/903594819750166528/ly3DqXML.jpg","View")</f>
        <v>View</v>
      </c>
    </row>
    <row r="12" spans="1:21" ht="40.799999999999997">
      <c r="A12" s="6">
        <v>43442.722615740742</v>
      </c>
      <c r="B12" s="7" t="str">
        <f>HYPERLINK("https://twitter.com/seby_perez","@seby_perez")</f>
        <v>@seby_perez</v>
      </c>
      <c r="C12" s="8" t="s">
        <v>120</v>
      </c>
      <c r="D12" s="9" t="s">
        <v>121</v>
      </c>
      <c r="E12" s="10" t="str">
        <f>HYPERLINK("https://twitter.com/seby_perez/status/1071439402373709824","1071439402373709824")</f>
        <v>1071439402373709824</v>
      </c>
      <c r="F12" s="12" t="s">
        <v>123</v>
      </c>
      <c r="G12" s="11"/>
      <c r="H12" s="11"/>
      <c r="I12" s="13">
        <v>0</v>
      </c>
      <c r="J12" s="13">
        <v>1</v>
      </c>
      <c r="K12" s="14" t="str">
        <f>HYPERLINK("https://mobile.twitter.com","Twitter Lite")</f>
        <v>Twitter Lite</v>
      </c>
      <c r="L12" s="13">
        <v>1627</v>
      </c>
      <c r="M12" s="13">
        <v>1623</v>
      </c>
      <c r="N12" s="13">
        <v>5</v>
      </c>
      <c r="O12" s="15"/>
      <c r="P12" s="6">
        <v>41914.773379629631</v>
      </c>
      <c r="Q12" s="18" t="s">
        <v>42</v>
      </c>
      <c r="R12" s="19" t="s">
        <v>126</v>
      </c>
      <c r="S12" s="11"/>
      <c r="T12" s="11"/>
      <c r="U12" s="10" t="str">
        <f>HYPERLINK("https://pbs.twimg.com/profile_images/1067411848234967040/zd7J5BWO.jpg","View")</f>
        <v>View</v>
      </c>
    </row>
    <row r="13" spans="1:21" ht="81.599999999999994">
      <c r="A13" s="6">
        <v>43442.721828703703</v>
      </c>
      <c r="B13" s="7" t="str">
        <f>HYPERLINK("https://twitter.com/paco_tomas","@paco_tomas")</f>
        <v>@paco_tomas</v>
      </c>
      <c r="C13" s="8" t="s">
        <v>129</v>
      </c>
      <c r="D13" s="9" t="s">
        <v>130</v>
      </c>
      <c r="E13" s="10" t="str">
        <f>HYPERLINK("https://twitter.com/paco_tomas/status/1071439117022568448","1071439117022568448")</f>
        <v>1071439117022568448</v>
      </c>
      <c r="F13" s="18" t="s">
        <v>132</v>
      </c>
      <c r="G13" s="11"/>
      <c r="H13" s="11"/>
      <c r="I13" s="13">
        <v>0</v>
      </c>
      <c r="J13" s="13">
        <v>0</v>
      </c>
      <c r="K13" s="14" t="str">
        <f>HYPERLINK("http://twitter.com/download/android","Twitter for Android")</f>
        <v>Twitter for Android</v>
      </c>
      <c r="L13" s="13">
        <v>37</v>
      </c>
      <c r="M13" s="13">
        <v>113</v>
      </c>
      <c r="N13" s="13">
        <v>1</v>
      </c>
      <c r="O13" s="15"/>
      <c r="P13" s="6">
        <v>40747.897858796292</v>
      </c>
      <c r="Q13" s="11"/>
      <c r="R13" s="19" t="s">
        <v>133</v>
      </c>
      <c r="S13" s="11"/>
      <c r="T13" s="11"/>
      <c r="U13" s="10" t="str">
        <f>HYPERLINK("https://pbs.twimg.com/profile_images/1017780406391918592/fBl3KeSf.jpg","View")</f>
        <v>View</v>
      </c>
    </row>
    <row r="14" spans="1:21" ht="30.6">
      <c r="A14" s="6">
        <v>43442.721828703703</v>
      </c>
      <c r="B14" s="7" t="str">
        <f>HYPERLINK("https://twitter.com/antonioaguado34","@antonioaguado34")</f>
        <v>@antonioaguado34</v>
      </c>
      <c r="C14" s="8" t="s">
        <v>136</v>
      </c>
      <c r="D14" s="9" t="s">
        <v>137</v>
      </c>
      <c r="E14" s="10" t="str">
        <f>HYPERLINK("https://twitter.com/antonioaguado34/status/1071439115256778752","1071439115256778752")</f>
        <v>1071439115256778752</v>
      </c>
      <c r="F14" s="12" t="s">
        <v>139</v>
      </c>
      <c r="G14" s="11"/>
      <c r="H14" s="11"/>
      <c r="I14" s="13">
        <v>0</v>
      </c>
      <c r="J14" s="13">
        <v>0</v>
      </c>
      <c r="K14" s="14" t="str">
        <f t="shared" ref="K14:K15" si="1">HYPERLINK("http://twitter.com","Twitter Web Client")</f>
        <v>Twitter Web Client</v>
      </c>
      <c r="L14" s="13">
        <v>88</v>
      </c>
      <c r="M14" s="13">
        <v>178</v>
      </c>
      <c r="N14" s="13">
        <v>0</v>
      </c>
      <c r="O14" s="15"/>
      <c r="P14" s="6">
        <v>40486.495844907404</v>
      </c>
      <c r="Q14" s="18" t="s">
        <v>142</v>
      </c>
      <c r="R14" s="19" t="s">
        <v>126</v>
      </c>
      <c r="S14" s="12" t="s">
        <v>143</v>
      </c>
      <c r="T14" s="11"/>
      <c r="U14" s="10" t="str">
        <f>HYPERLINK("https://pbs.twimg.com/profile_images/984871900634599426/yzUpQR1X.jpg","View")</f>
        <v>View</v>
      </c>
    </row>
    <row r="15" spans="1:21" ht="20.399999999999999">
      <c r="A15" s="6">
        <v>43442.721145833333</v>
      </c>
      <c r="B15" s="7" t="str">
        <f>HYPERLINK("https://twitter.com/Jacobo7elbobo","@Jacobo7elbobo")</f>
        <v>@Jacobo7elbobo</v>
      </c>
      <c r="C15" s="8" t="s">
        <v>147</v>
      </c>
      <c r="D15" s="9" t="s">
        <v>148</v>
      </c>
      <c r="E15" s="10" t="str">
        <f>HYPERLINK("https://twitter.com/Jacobo7elbobo/status/1071438869319569414","1071438869319569414")</f>
        <v>1071438869319569414</v>
      </c>
      <c r="F15" s="12" t="s">
        <v>149</v>
      </c>
      <c r="G15" s="11"/>
      <c r="H15" s="11"/>
      <c r="I15" s="13">
        <v>1</v>
      </c>
      <c r="J15" s="13">
        <v>2</v>
      </c>
      <c r="K15" s="14" t="str">
        <f t="shared" si="1"/>
        <v>Twitter Web Client</v>
      </c>
      <c r="L15" s="13">
        <v>5561</v>
      </c>
      <c r="M15" s="13">
        <v>5286</v>
      </c>
      <c r="N15" s="13">
        <v>8</v>
      </c>
      <c r="O15" s="15"/>
      <c r="P15" s="6">
        <v>42315.993460648147</v>
      </c>
      <c r="Q15" s="18" t="s">
        <v>152</v>
      </c>
      <c r="R15" s="19" t="s">
        <v>153</v>
      </c>
      <c r="S15" s="11"/>
      <c r="T15" s="11"/>
      <c r="U15" s="10" t="str">
        <f>HYPERLINK("https://pbs.twimg.com/profile_images/972809079289675776/alLBdem6.jpg","View")</f>
        <v>View</v>
      </c>
    </row>
    <row r="16" spans="1:21" ht="51">
      <c r="A16" s="6">
        <v>43442.720023148147</v>
      </c>
      <c r="B16" s="7" t="str">
        <f>HYPERLINK("https://twitter.com/jomcard","@jomcard")</f>
        <v>@jomcard</v>
      </c>
      <c r="C16" s="8" t="s">
        <v>156</v>
      </c>
      <c r="D16" s="9" t="s">
        <v>157</v>
      </c>
      <c r="E16" s="10" t="str">
        <f>HYPERLINK("https://twitter.com/jomcard/status/1071438462409150465","1071438462409150465")</f>
        <v>1071438462409150465</v>
      </c>
      <c r="F16" s="11"/>
      <c r="G16" s="11"/>
      <c r="H16" s="11"/>
      <c r="I16" s="13">
        <v>0</v>
      </c>
      <c r="J16" s="13">
        <v>0</v>
      </c>
      <c r="K16" s="14" t="str">
        <f>HYPERLINK("http://twitter.com/download/android","Twitter for Android")</f>
        <v>Twitter for Android</v>
      </c>
      <c r="L16" s="13">
        <v>10</v>
      </c>
      <c r="M16" s="13">
        <v>24</v>
      </c>
      <c r="N16" s="13">
        <v>0</v>
      </c>
      <c r="O16" s="15"/>
      <c r="P16" s="6">
        <v>41828.737395833334</v>
      </c>
      <c r="Q16" s="11"/>
      <c r="R16" s="17"/>
      <c r="S16" s="11"/>
      <c r="T16" s="11"/>
      <c r="U16" s="10" t="str">
        <f>HYPERLINK("https://pbs.twimg.com/profile_images/505687561957031936/5UdoknLA.jpeg","View")</f>
        <v>View</v>
      </c>
    </row>
    <row r="17" spans="1:21" ht="20.399999999999999">
      <c r="A17" s="6">
        <v>43442.718206018515</v>
      </c>
      <c r="B17" s="7" t="str">
        <f>HYPERLINK("https://twitter.com/LolitaLobby","@LolitaLobby")</f>
        <v>@LolitaLobby</v>
      </c>
      <c r="C17" s="8" t="s">
        <v>162</v>
      </c>
      <c r="D17" s="9" t="s">
        <v>163</v>
      </c>
      <c r="E17" s="10" t="str">
        <f>HYPERLINK("https://twitter.com/LolitaLobby/status/1071437806071881730","1071437806071881730")</f>
        <v>1071437806071881730</v>
      </c>
      <c r="F17" s="12" t="s">
        <v>166</v>
      </c>
      <c r="G17" s="11"/>
      <c r="H17" s="11"/>
      <c r="I17" s="13">
        <v>1</v>
      </c>
      <c r="J17" s="13">
        <v>1</v>
      </c>
      <c r="K17" s="14" t="str">
        <f>HYPERLINK("http://twitter.com/download/iphone","Twitter for iPhone")</f>
        <v>Twitter for iPhone</v>
      </c>
      <c r="L17" s="13">
        <v>2135</v>
      </c>
      <c r="M17" s="13">
        <v>954</v>
      </c>
      <c r="N17" s="13">
        <v>35</v>
      </c>
      <c r="O17" s="15"/>
      <c r="P17" s="6">
        <v>42288.916319444441</v>
      </c>
      <c r="Q17" s="18" t="s">
        <v>41</v>
      </c>
      <c r="R17" s="19" t="s">
        <v>168</v>
      </c>
      <c r="S17" s="11"/>
      <c r="T17" s="11"/>
      <c r="U17" s="10" t="str">
        <f>HYPERLINK("https://pbs.twimg.com/profile_images/1064927014199746560/f-SAgrS7.jpg","View")</f>
        <v>View</v>
      </c>
    </row>
    <row r="18" spans="1:21" ht="20.399999999999999">
      <c r="A18" s="6">
        <v>43442.717685185184</v>
      </c>
      <c r="B18" s="7" t="str">
        <f>HYPERLINK("https://twitter.com/Africanpower777","@Africanpower777")</f>
        <v>@Africanpower777</v>
      </c>
      <c r="C18" s="8" t="s">
        <v>172</v>
      </c>
      <c r="D18" s="9" t="s">
        <v>84</v>
      </c>
      <c r="E18" s="10" t="str">
        <f>HYPERLINK("https://twitter.com/Africanpower777/status/1071437615759544320","1071437615759544320")</f>
        <v>1071437615759544320</v>
      </c>
      <c r="F18" s="12" t="s">
        <v>86</v>
      </c>
      <c r="G18" s="11"/>
      <c r="H18" s="11"/>
      <c r="I18" s="13">
        <v>0</v>
      </c>
      <c r="J18" s="13">
        <v>0</v>
      </c>
      <c r="K18" s="14" t="str">
        <f>HYPERLINK("http://www.facebook.com/twitter","Facebook")</f>
        <v>Facebook</v>
      </c>
      <c r="L18" s="13">
        <v>1086</v>
      </c>
      <c r="M18" s="13">
        <v>1892</v>
      </c>
      <c r="N18" s="13">
        <v>0</v>
      </c>
      <c r="O18" s="15"/>
      <c r="P18" s="6">
        <v>41244.488854166666</v>
      </c>
      <c r="Q18" s="18" t="s">
        <v>178</v>
      </c>
      <c r="R18" s="19" t="s">
        <v>179</v>
      </c>
      <c r="S18" s="12" t="s">
        <v>180</v>
      </c>
      <c r="T18" s="11"/>
      <c r="U18" s="10" t="str">
        <f>HYPERLINK("https://pbs.twimg.com/profile_images/726539565691973634/sAVmoxf6.jpg","View")</f>
        <v>View</v>
      </c>
    </row>
    <row r="19" spans="1:21" ht="30.6">
      <c r="A19" s="6">
        <v>43442.717164351852</v>
      </c>
      <c r="B19" s="7" t="str">
        <f>HYPERLINK("https://twitter.com/curroflores1952","@curroflores1952")</f>
        <v>@curroflores1952</v>
      </c>
      <c r="C19" s="8" t="s">
        <v>184</v>
      </c>
      <c r="D19" s="9" t="s">
        <v>185</v>
      </c>
      <c r="E19" s="10" t="str">
        <f>HYPERLINK("https://twitter.com/curroflores1952/status/1071437426118270977","1071437426118270977")</f>
        <v>1071437426118270977</v>
      </c>
      <c r="F19" s="12" t="s">
        <v>187</v>
      </c>
      <c r="G19" s="11"/>
      <c r="H19" s="11"/>
      <c r="I19" s="13">
        <v>0</v>
      </c>
      <c r="J19" s="13">
        <v>1</v>
      </c>
      <c r="K19" s="14" t="str">
        <f>HYPERLINK("http://twitter.com/download/android","Twitter for Android")</f>
        <v>Twitter for Android</v>
      </c>
      <c r="L19" s="13">
        <v>42254</v>
      </c>
      <c r="M19" s="13">
        <v>44862</v>
      </c>
      <c r="N19" s="13">
        <v>330</v>
      </c>
      <c r="O19" s="15"/>
      <c r="P19" s="6">
        <v>41048.916099537033</v>
      </c>
      <c r="Q19" s="18" t="s">
        <v>192</v>
      </c>
      <c r="R19" s="19" t="s">
        <v>193</v>
      </c>
      <c r="S19" s="12" t="s">
        <v>194</v>
      </c>
      <c r="T19" s="11"/>
      <c r="U19" s="10" t="str">
        <f>HYPERLINK("https://pbs.twimg.com/profile_images/453068623662174208/a_0n3b6e.jpeg","View")</f>
        <v>View</v>
      </c>
    </row>
    <row r="20" spans="1:21" ht="51">
      <c r="A20" s="6">
        <v>43442.716886574075</v>
      </c>
      <c r="B20" s="7" t="str">
        <f>HYPERLINK("https://twitter.com/COPE","@COPE")</f>
        <v>@COPE</v>
      </c>
      <c r="C20" s="8" t="s">
        <v>197</v>
      </c>
      <c r="D20" s="9" t="s">
        <v>198</v>
      </c>
      <c r="E20" s="10" t="str">
        <f>HYPERLINK("https://twitter.com/COPE/status/1071437326751031301","1071437326751031301")</f>
        <v>1071437326751031301</v>
      </c>
      <c r="F20" s="12" t="s">
        <v>199</v>
      </c>
      <c r="G20" s="11"/>
      <c r="H20" s="11"/>
      <c r="I20" s="13">
        <v>1</v>
      </c>
      <c r="J20" s="13">
        <v>1</v>
      </c>
      <c r="K20" s="14" t="str">
        <f>HYPERLINK("http://dogtrack.es","DogTrack_Oficial")</f>
        <v>DogTrack_Oficial</v>
      </c>
      <c r="L20" s="13">
        <v>354193</v>
      </c>
      <c r="M20" s="13">
        <v>150</v>
      </c>
      <c r="N20" s="13">
        <v>3095</v>
      </c>
      <c r="O20" s="16" t="s">
        <v>25</v>
      </c>
      <c r="P20" s="6">
        <v>39381.538321759261</v>
      </c>
      <c r="Q20" s="18" t="s">
        <v>41</v>
      </c>
      <c r="R20" s="19" t="s">
        <v>203</v>
      </c>
      <c r="S20" s="12" t="s">
        <v>206</v>
      </c>
      <c r="T20" s="11"/>
      <c r="U20" s="10" t="str">
        <f>HYPERLINK("https://pbs.twimg.com/profile_images/1063097716031533059/yAe1j-56.jpg","View")</f>
        <v>View</v>
      </c>
    </row>
    <row r="21" spans="1:21" ht="102">
      <c r="A21" s="6">
        <v>43442.716423611113</v>
      </c>
      <c r="B21" s="7" t="str">
        <f>HYPERLINK("https://twitter.com/RanaTabarnia","@RanaTabarnia")</f>
        <v>@RanaTabarnia</v>
      </c>
      <c r="C21" s="8" t="s">
        <v>60</v>
      </c>
      <c r="D21" s="9" t="s">
        <v>61</v>
      </c>
      <c r="E21" s="10" t="str">
        <f>HYPERLINK("https://twitter.com/RanaTabarnia/status/1071437158433599488","1071437158433599488")</f>
        <v>1071437158433599488</v>
      </c>
      <c r="F21" s="18" t="s">
        <v>63</v>
      </c>
      <c r="G21" s="11"/>
      <c r="H21" s="11"/>
      <c r="I21" s="13">
        <v>0</v>
      </c>
      <c r="J21" s="13">
        <v>0</v>
      </c>
      <c r="K21" s="14" t="str">
        <f>HYPERLINK("http://twitter.com/download/android","Twitter for Android")</f>
        <v>Twitter for Android</v>
      </c>
      <c r="L21" s="13">
        <v>168</v>
      </c>
      <c r="M21" s="13">
        <v>143</v>
      </c>
      <c r="N21" s="13">
        <v>0</v>
      </c>
      <c r="O21" s="15"/>
      <c r="P21" s="6">
        <v>43286.761712962965</v>
      </c>
      <c r="Q21" s="11"/>
      <c r="R21" s="17"/>
      <c r="S21" s="11"/>
      <c r="T21" s="11"/>
      <c r="U21" s="10" t="str">
        <f>HYPERLINK("https://pbs.twimg.com/profile_images/1021799925858922497/y6n6WhI-.jpg","View")</f>
        <v>View</v>
      </c>
    </row>
    <row r="22" spans="1:21" ht="20.399999999999999">
      <c r="A22" s="6">
        <v>43442.71603009259</v>
      </c>
      <c r="B22" s="7" t="str">
        <f>HYPERLINK("https://twitter.com/alejoalarab","@alejoalarab")</f>
        <v>@alejoalarab</v>
      </c>
      <c r="C22" s="8" t="s">
        <v>222</v>
      </c>
      <c r="D22" s="9" t="s">
        <v>223</v>
      </c>
      <c r="E22" s="10" t="str">
        <f>HYPERLINK("https://twitter.com/alejoalarab/status/1071437013516148736","1071437013516148736")</f>
        <v>1071437013516148736</v>
      </c>
      <c r="F22" s="12" t="s">
        <v>226</v>
      </c>
      <c r="G22" s="12" t="s">
        <v>227</v>
      </c>
      <c r="H22" s="11"/>
      <c r="I22" s="13">
        <v>0</v>
      </c>
      <c r="J22" s="13">
        <v>0</v>
      </c>
      <c r="K22" s="14" t="str">
        <f>HYPERLINK("https://dlvrit.com/","dlvr.it")</f>
        <v>dlvr.it</v>
      </c>
      <c r="L22" s="13">
        <v>234</v>
      </c>
      <c r="M22" s="13">
        <v>186</v>
      </c>
      <c r="N22" s="13">
        <v>6</v>
      </c>
      <c r="O22" s="15"/>
      <c r="P22" s="6">
        <v>40308.523969907408</v>
      </c>
      <c r="Q22" s="18" t="s">
        <v>204</v>
      </c>
      <c r="R22" s="19" t="s">
        <v>230</v>
      </c>
      <c r="S22" s="12" t="s">
        <v>231</v>
      </c>
      <c r="T22" s="11"/>
      <c r="U22" s="10" t="str">
        <f>HYPERLINK("https://pbs.twimg.com/profile_images/840207380738646016/dJ6lb14Y.jpg","View")</f>
        <v>View</v>
      </c>
    </row>
    <row r="23" spans="1:21" ht="40.799999999999997">
      <c r="A23" s="6">
        <v>43442.714178240742</v>
      </c>
      <c r="B23" s="7" t="str">
        <f>HYPERLINK("https://twitter.com/enriquedediegov","@enriquedediegov")</f>
        <v>@enriquedediegov</v>
      </c>
      <c r="C23" s="8" t="s">
        <v>234</v>
      </c>
      <c r="D23" s="9" t="s">
        <v>235</v>
      </c>
      <c r="E23" s="10" t="str">
        <f>HYPERLINK("https://twitter.com/enriquedediegov/status/1071436343467741184","1071436343467741184")</f>
        <v>1071436343467741184</v>
      </c>
      <c r="F23" s="12" t="s">
        <v>238</v>
      </c>
      <c r="G23" s="11"/>
      <c r="H23" s="11"/>
      <c r="I23" s="13">
        <v>0</v>
      </c>
      <c r="J23" s="13">
        <v>2</v>
      </c>
      <c r="K23" s="14" t="str">
        <f>HYPERLINK("http://twitter.com","Twitter Web Client")</f>
        <v>Twitter Web Client</v>
      </c>
      <c r="L23" s="13">
        <v>7792</v>
      </c>
      <c r="M23" s="13">
        <v>6053</v>
      </c>
      <c r="N23" s="13">
        <v>179</v>
      </c>
      <c r="O23" s="15"/>
      <c r="P23" s="6">
        <v>41293.717129629629</v>
      </c>
      <c r="Q23" s="18" t="s">
        <v>42</v>
      </c>
      <c r="R23" s="19" t="s">
        <v>239</v>
      </c>
      <c r="S23" s="12" t="s">
        <v>240</v>
      </c>
      <c r="T23" s="11"/>
      <c r="U23" s="10" t="str">
        <f>HYPERLINK("https://pbs.twimg.com/profile_images/3129623790/4ae197d01442e05dee4622297c3b9642.jpeg","View")</f>
        <v>View</v>
      </c>
    </row>
    <row r="24" spans="1:21" ht="20.399999999999999">
      <c r="A24" s="6">
        <v>43442.714178240742</v>
      </c>
      <c r="B24" s="7" t="str">
        <f>HYPERLINK("https://twitter.com/condetankov","@condetankov")</f>
        <v>@condetankov</v>
      </c>
      <c r="C24" s="8" t="s">
        <v>243</v>
      </c>
      <c r="D24" s="9" t="s">
        <v>84</v>
      </c>
      <c r="E24" s="10" t="str">
        <f>HYPERLINK("https://twitter.com/condetankov/status/1071436343451049986","1071436343451049986")</f>
        <v>1071436343451049986</v>
      </c>
      <c r="F24" s="12" t="s">
        <v>86</v>
      </c>
      <c r="G24" s="11"/>
      <c r="H24" s="11"/>
      <c r="I24" s="13">
        <v>0</v>
      </c>
      <c r="J24" s="13">
        <v>0</v>
      </c>
      <c r="K24" s="14" t="str">
        <f>HYPERLINK("http://www.facebook.com/twitter","Facebook")</f>
        <v>Facebook</v>
      </c>
      <c r="L24" s="13">
        <v>958</v>
      </c>
      <c r="M24" s="13">
        <v>209</v>
      </c>
      <c r="N24" s="13">
        <v>7</v>
      </c>
      <c r="O24" s="15"/>
      <c r="P24" s="6">
        <v>40673.002106481479</v>
      </c>
      <c r="Q24" s="11"/>
      <c r="R24" s="19" t="s">
        <v>249</v>
      </c>
      <c r="S24" s="12" t="s">
        <v>250</v>
      </c>
      <c r="T24" s="11"/>
      <c r="U24" s="10" t="str">
        <f>HYPERLINK("https://pbs.twimg.com/profile_images/937653994410913793/9Idn0n0w.jpg","View")</f>
        <v>View</v>
      </c>
    </row>
    <row r="25" spans="1:21" ht="30.6">
      <c r="A25" s="6">
        <v>43442.713368055556</v>
      </c>
      <c r="B25" s="7" t="str">
        <f>HYPERLINK("https://twitter.com/MontserratCovad","@MontserratCovad")</f>
        <v>@MontserratCovad</v>
      </c>
      <c r="C25" s="8" t="s">
        <v>251</v>
      </c>
      <c r="D25" s="9" t="s">
        <v>137</v>
      </c>
      <c r="E25" s="10" t="str">
        <f>HYPERLINK("https://twitter.com/MontserratCovad/status/1071436049707085825","1071436049707085825")</f>
        <v>1071436049707085825</v>
      </c>
      <c r="F25" s="12" t="s">
        <v>254</v>
      </c>
      <c r="G25" s="11"/>
      <c r="H25" s="11"/>
      <c r="I25" s="13">
        <v>0</v>
      </c>
      <c r="J25" s="13">
        <v>0</v>
      </c>
      <c r="K25" s="14" t="str">
        <f t="shared" ref="K25:K26" si="2">HYPERLINK("http://twitter.com/download/android","Twitter for Android")</f>
        <v>Twitter for Android</v>
      </c>
      <c r="L25" s="13">
        <v>9175</v>
      </c>
      <c r="M25" s="13">
        <v>7936</v>
      </c>
      <c r="N25" s="13">
        <v>69</v>
      </c>
      <c r="O25" s="15"/>
      <c r="P25" s="6">
        <v>41043.870775462965</v>
      </c>
      <c r="Q25" s="18" t="s">
        <v>256</v>
      </c>
      <c r="R25" s="19" t="s">
        <v>257</v>
      </c>
      <c r="S25" s="11"/>
      <c r="T25" s="11"/>
      <c r="U25" s="10" t="str">
        <f>HYPERLINK("https://pbs.twimg.com/profile_images/1022933660109103104/ZaPP9oCM.jpg","View")</f>
        <v>View</v>
      </c>
    </row>
    <row r="26" spans="1:21" ht="51">
      <c r="A26" s="6">
        <v>43442.713078703702</v>
      </c>
      <c r="B26" s="7" t="str">
        <f>HYPERLINK("https://twitter.com/doguionrego","@doguionrego")</f>
        <v>@doguionrego</v>
      </c>
      <c r="C26" s="8" t="s">
        <v>67</v>
      </c>
      <c r="D26" s="9" t="s">
        <v>68</v>
      </c>
      <c r="E26" s="10" t="str">
        <f>HYPERLINK("https://twitter.com/doguionrego/status/1071435946367832064","1071435946367832064")</f>
        <v>1071435946367832064</v>
      </c>
      <c r="F26" s="18" t="s">
        <v>69</v>
      </c>
      <c r="G26" s="11"/>
      <c r="H26" s="11"/>
      <c r="I26" s="13">
        <v>0</v>
      </c>
      <c r="J26" s="13">
        <v>0</v>
      </c>
      <c r="K26" s="14" t="str">
        <f t="shared" si="2"/>
        <v>Twitter for Android</v>
      </c>
      <c r="L26" s="13">
        <v>4649</v>
      </c>
      <c r="M26" s="13">
        <v>4774</v>
      </c>
      <c r="N26" s="13">
        <v>9</v>
      </c>
      <c r="O26" s="15"/>
      <c r="P26" s="6">
        <v>42818.633599537032</v>
      </c>
      <c r="Q26" s="18" t="s">
        <v>42</v>
      </c>
      <c r="R26" s="19" t="s">
        <v>72</v>
      </c>
      <c r="S26" s="11"/>
      <c r="T26" s="11"/>
      <c r="U26" s="10" t="str">
        <f>HYPERLINK("https://pbs.twimg.com/profile_images/937615481602789376/OBa7YPsM.jpg","View")</f>
        <v>View</v>
      </c>
    </row>
    <row r="27" spans="1:21" ht="40.799999999999997">
      <c r="A27" s="6">
        <v>43442.713043981479</v>
      </c>
      <c r="B27" s="7" t="str">
        <f>HYPERLINK("https://twitter.com/trancan92486565","@trancan92486565")</f>
        <v>@trancan92486565</v>
      </c>
      <c r="C27" s="8" t="s">
        <v>265</v>
      </c>
      <c r="D27" s="9" t="s">
        <v>267</v>
      </c>
      <c r="E27" s="10" t="str">
        <f>HYPERLINK("https://twitter.com/trancan92486565/status/1071435935378681857","1071435935378681857")</f>
        <v>1071435935378681857</v>
      </c>
      <c r="F27" s="12" t="s">
        <v>268</v>
      </c>
      <c r="G27" s="11"/>
      <c r="H27" s="11"/>
      <c r="I27" s="13">
        <v>0</v>
      </c>
      <c r="J27" s="13">
        <v>0</v>
      </c>
      <c r="K27" s="14" t="str">
        <f>HYPERLINK("https://www.google.com/","Google")</f>
        <v>Google</v>
      </c>
      <c r="L27" s="13">
        <v>4</v>
      </c>
      <c r="M27" s="13">
        <v>11</v>
      </c>
      <c r="N27" s="13">
        <v>0</v>
      </c>
      <c r="O27" s="15"/>
      <c r="P27" s="6">
        <v>43017.648888888885</v>
      </c>
      <c r="Q27" s="18" t="s">
        <v>271</v>
      </c>
      <c r="R27" s="19" t="s">
        <v>272</v>
      </c>
      <c r="S27" s="12" t="s">
        <v>273</v>
      </c>
      <c r="T27" s="11"/>
      <c r="U27" s="10" t="str">
        <f>HYPERLINK("https://pbs.twimg.com/profile_images/917383125419704331/5l2pJCL9.jpg","View")</f>
        <v>View</v>
      </c>
    </row>
    <row r="28" spans="1:21" ht="30.6">
      <c r="A28" s="6">
        <v>43442.710902777777</v>
      </c>
      <c r="B28" s="7" t="str">
        <f>HYPERLINK("https://twitter.com/NachoRodri9","@NachoRodri9")</f>
        <v>@NachoRodri9</v>
      </c>
      <c r="C28" s="8" t="s">
        <v>278</v>
      </c>
      <c r="D28" s="9" t="s">
        <v>279</v>
      </c>
      <c r="E28" s="10" t="str">
        <f>HYPERLINK("https://twitter.com/NachoRodri9/status/1071435157729628160","1071435157729628160")</f>
        <v>1071435157729628160</v>
      </c>
      <c r="F28" s="12" t="s">
        <v>280</v>
      </c>
      <c r="G28" s="11"/>
      <c r="H28" s="11"/>
      <c r="I28" s="13">
        <v>0</v>
      </c>
      <c r="J28" s="13">
        <v>0</v>
      </c>
      <c r="K28" s="14" t="str">
        <f>HYPERLINK("http://twitter.com/#!/download/ipad","Twitter for iPad")</f>
        <v>Twitter for iPad</v>
      </c>
      <c r="L28" s="13">
        <v>51</v>
      </c>
      <c r="M28" s="13">
        <v>119</v>
      </c>
      <c r="N28" s="13">
        <v>5</v>
      </c>
      <c r="O28" s="15"/>
      <c r="P28" s="6">
        <v>41601.629467592589</v>
      </c>
      <c r="Q28" s="11"/>
      <c r="R28" s="19" t="s">
        <v>283</v>
      </c>
      <c r="S28" s="11"/>
      <c r="T28" s="11"/>
      <c r="U28" s="10" t="str">
        <f>HYPERLINK("https://pbs.twimg.com/profile_images/378800000799072006/ee4c29577faa9930bf92944c9637ad70.jpeg","View")</f>
        <v>View</v>
      </c>
    </row>
    <row r="29" spans="1:21" ht="20.399999999999999">
      <c r="A29" s="6">
        <v>43442.709768518514</v>
      </c>
      <c r="B29" s="7" t="str">
        <f>HYPERLINK("https://twitter.com/sepaesbi","@sepaesbi")</f>
        <v>@sepaesbi</v>
      </c>
      <c r="C29" s="8" t="s">
        <v>284</v>
      </c>
      <c r="D29" s="9" t="s">
        <v>285</v>
      </c>
      <c r="E29" s="10" t="str">
        <f>HYPERLINK("https://twitter.com/sepaesbi/status/1071434745328865280","1071434745328865280")</f>
        <v>1071434745328865280</v>
      </c>
      <c r="F29" s="12" t="s">
        <v>290</v>
      </c>
      <c r="G29" s="11"/>
      <c r="H29" s="11"/>
      <c r="I29" s="13">
        <v>0</v>
      </c>
      <c r="J29" s="13">
        <v>0</v>
      </c>
      <c r="K29" s="14" t="str">
        <f>HYPERLINK("http://twitter.com","Twitter Web Client")</f>
        <v>Twitter Web Client</v>
      </c>
      <c r="L29" s="13">
        <v>69</v>
      </c>
      <c r="M29" s="13">
        <v>278</v>
      </c>
      <c r="N29" s="13">
        <v>1</v>
      </c>
      <c r="O29" s="15"/>
      <c r="P29" s="6">
        <v>41724.721539351856</v>
      </c>
      <c r="Q29" s="11"/>
      <c r="R29" s="17"/>
      <c r="S29" s="11"/>
      <c r="T29" s="11"/>
      <c r="U29" s="16" t="s">
        <v>191</v>
      </c>
    </row>
    <row r="30" spans="1:21" ht="20.399999999999999">
      <c r="A30" s="6">
        <v>43442.709699074076</v>
      </c>
      <c r="B30" s="7" t="str">
        <f>HYPERLINK("https://twitter.com/SalvaCeballo","@SalvaCeballo")</f>
        <v>@SalvaCeballo</v>
      </c>
      <c r="C30" s="8" t="s">
        <v>291</v>
      </c>
      <c r="D30" s="9" t="s">
        <v>292</v>
      </c>
      <c r="E30" s="10" t="str">
        <f>HYPERLINK("https://twitter.com/SalvaCeballo/status/1071434719282294784","1071434719282294784")</f>
        <v>1071434719282294784</v>
      </c>
      <c r="F30" s="12" t="s">
        <v>296</v>
      </c>
      <c r="G30" s="11"/>
      <c r="H30" s="11"/>
      <c r="I30" s="13">
        <v>0</v>
      </c>
      <c r="J30" s="13">
        <v>0</v>
      </c>
      <c r="K30" s="14" t="str">
        <f t="shared" ref="K30:K31" si="3">HYPERLINK("http://twitter.com/download/android","Twitter for Android")</f>
        <v>Twitter for Android</v>
      </c>
      <c r="L30" s="13">
        <v>253</v>
      </c>
      <c r="M30" s="13">
        <v>164</v>
      </c>
      <c r="N30" s="13">
        <v>11</v>
      </c>
      <c r="O30" s="15"/>
      <c r="P30" s="6">
        <v>40364.655324074076</v>
      </c>
      <c r="Q30" s="18" t="s">
        <v>302</v>
      </c>
      <c r="R30" s="19" t="s">
        <v>303</v>
      </c>
      <c r="S30" s="11"/>
      <c r="T30" s="11"/>
      <c r="U30" s="10" t="str">
        <f>HYPERLINK("https://pbs.twimg.com/profile_images/867345226712666113/JJGWHWnv.jpg","View")</f>
        <v>View</v>
      </c>
    </row>
    <row r="31" spans="1:21" ht="30.6">
      <c r="A31" s="6">
        <v>43442.70648148148</v>
      </c>
      <c r="B31" s="7" t="str">
        <f>HYPERLINK("https://twitter.com/Mabe_Fer_","@Mabe_Fer_")</f>
        <v>@Mabe_Fer_</v>
      </c>
      <c r="C31" s="8" t="s">
        <v>75</v>
      </c>
      <c r="D31" s="9" t="s">
        <v>76</v>
      </c>
      <c r="E31" s="10" t="str">
        <f>HYPERLINK("https://twitter.com/Mabe_Fer_/status/1071433556986134529","1071433556986134529")</f>
        <v>1071433556986134529</v>
      </c>
      <c r="F31" s="12" t="s">
        <v>77</v>
      </c>
      <c r="G31" s="11"/>
      <c r="H31" s="11"/>
      <c r="I31" s="13">
        <v>0</v>
      </c>
      <c r="J31" s="13">
        <v>0</v>
      </c>
      <c r="K31" s="14" t="str">
        <f t="shared" si="3"/>
        <v>Twitter for Android</v>
      </c>
      <c r="L31" s="13">
        <v>384</v>
      </c>
      <c r="M31" s="13">
        <v>254</v>
      </c>
      <c r="N31" s="13">
        <v>0</v>
      </c>
      <c r="O31" s="15"/>
      <c r="P31" s="6">
        <v>43237.386134259257</v>
      </c>
      <c r="Q31" s="18" t="s">
        <v>78</v>
      </c>
      <c r="R31" s="19" t="s">
        <v>79</v>
      </c>
      <c r="S31" s="11"/>
      <c r="T31" s="11"/>
      <c r="U31" s="10" t="str">
        <f>HYPERLINK("https://pbs.twimg.com/profile_images/1063816291390316544/8Ae4B9b0.jpg","View")</f>
        <v>View</v>
      </c>
    </row>
    <row r="32" spans="1:21" ht="20.399999999999999">
      <c r="A32" s="6">
        <v>43442.70517361111</v>
      </c>
      <c r="B32" s="7" t="str">
        <f>HYPERLINK("https://twitter.com/cucamentirosa","@cucamentirosa")</f>
        <v>@cucamentirosa</v>
      </c>
      <c r="C32" s="8" t="s">
        <v>310</v>
      </c>
      <c r="D32" s="9" t="s">
        <v>311</v>
      </c>
      <c r="E32" s="10" t="str">
        <f>HYPERLINK("https://twitter.com/cucamentirosa/status/1071433081314258946","1071433081314258946")</f>
        <v>1071433081314258946</v>
      </c>
      <c r="F32" s="11"/>
      <c r="G32" s="11"/>
      <c r="H32" s="11"/>
      <c r="I32" s="13">
        <v>3</v>
      </c>
      <c r="J32" s="13">
        <v>3</v>
      </c>
      <c r="K32" s="14" t="str">
        <f t="shared" ref="K32:K33" si="4">HYPERLINK("http://twitter.com/download/iphone","Twitter for iPhone")</f>
        <v>Twitter for iPhone</v>
      </c>
      <c r="L32" s="13">
        <v>177</v>
      </c>
      <c r="M32" s="13">
        <v>130</v>
      </c>
      <c r="N32" s="13">
        <v>2</v>
      </c>
      <c r="O32" s="15"/>
      <c r="P32" s="6">
        <v>43335.24795138889</v>
      </c>
      <c r="Q32" s="11"/>
      <c r="R32" s="19" t="s">
        <v>314</v>
      </c>
      <c r="S32" s="12" t="s">
        <v>315</v>
      </c>
      <c r="T32" s="11"/>
      <c r="U32" s="10" t="str">
        <f>HYPERLINK("https://pbs.twimg.com/profile_images/1071084044807491591/tlVY4WGD.jpg","View")</f>
        <v>View</v>
      </c>
    </row>
    <row r="33" spans="1:21" ht="20.399999999999999">
      <c r="A33" s="6">
        <v>43442.705162037033</v>
      </c>
      <c r="B33" s="7" t="str">
        <f>HYPERLINK("https://twitter.com/earlwinterfell","@earlwinterfell")</f>
        <v>@earlwinterfell</v>
      </c>
      <c r="C33" s="8" t="s">
        <v>316</v>
      </c>
      <c r="D33" s="9" t="s">
        <v>317</v>
      </c>
      <c r="E33" s="10" t="str">
        <f>HYPERLINK("https://twitter.com/earlwinterfell/status/1071433075010215936","1071433075010215936")</f>
        <v>1071433075010215936</v>
      </c>
      <c r="F33" s="12" t="s">
        <v>149</v>
      </c>
      <c r="G33" s="11"/>
      <c r="H33" s="11"/>
      <c r="I33" s="13">
        <v>0</v>
      </c>
      <c r="J33" s="13">
        <v>0</v>
      </c>
      <c r="K33" s="14" t="str">
        <f t="shared" si="4"/>
        <v>Twitter for iPhone</v>
      </c>
      <c r="L33" s="13">
        <v>50</v>
      </c>
      <c r="M33" s="13">
        <v>287</v>
      </c>
      <c r="N33" s="13">
        <v>0</v>
      </c>
      <c r="O33" s="15"/>
      <c r="P33" s="6">
        <v>42730.314317129625</v>
      </c>
      <c r="Q33" s="11"/>
      <c r="R33" s="19" t="s">
        <v>319</v>
      </c>
      <c r="S33" s="11"/>
      <c r="T33" s="11"/>
      <c r="U33" s="10" t="str">
        <f>HYPERLINK("https://pbs.twimg.com/profile_images/991588259569590272/Mn_Ur_Bz.jpg","View")</f>
        <v>View</v>
      </c>
    </row>
    <row r="34" spans="1:21" ht="61.2">
      <c r="A34" s="6">
        <v>43442.704861111109</v>
      </c>
      <c r="B34" s="7" t="str">
        <f>HYPERLINK("https://twitter.com/SPAINMACOM","@SPAINMACOM")</f>
        <v>@SPAINMACOM</v>
      </c>
      <c r="C34" s="8" t="s">
        <v>80</v>
      </c>
      <c r="D34" s="9" t="s">
        <v>82</v>
      </c>
      <c r="E34" s="10" t="str">
        <f>HYPERLINK("https://twitter.com/SPAINMACOM/status/1071432968458174464","1071432968458174464")</f>
        <v>1071432968458174464</v>
      </c>
      <c r="F34" s="18" t="s">
        <v>83</v>
      </c>
      <c r="G34" s="11"/>
      <c r="H34" s="11"/>
      <c r="I34" s="13">
        <v>0</v>
      </c>
      <c r="J34" s="13">
        <v>0</v>
      </c>
      <c r="K34" s="14" t="str">
        <f>HYPERLINK("http://twitter.com","Twitter Web Client")</f>
        <v>Twitter Web Client</v>
      </c>
      <c r="L34" s="13">
        <v>1027</v>
      </c>
      <c r="M34" s="13">
        <v>991</v>
      </c>
      <c r="N34" s="13">
        <v>3</v>
      </c>
      <c r="O34" s="15"/>
      <c r="P34" s="6">
        <v>42802.596018518518</v>
      </c>
      <c r="Q34" s="11"/>
      <c r="R34" s="19" t="s">
        <v>85</v>
      </c>
      <c r="S34" s="11"/>
      <c r="T34" s="11"/>
      <c r="U34" s="10" t="str">
        <f>HYPERLINK("https://pbs.twimg.com/profile_images/1053378860283248641/of9lODrW.jpg","View")</f>
        <v>View</v>
      </c>
    </row>
    <row r="35" spans="1:21" ht="51">
      <c r="A35" s="6">
        <v>43442.703993055555</v>
      </c>
      <c r="B35" s="7" t="str">
        <f>HYPERLINK("https://twitter.com/Rostros4T","@Rostros4T")</f>
        <v>@Rostros4T</v>
      </c>
      <c r="C35" s="8" t="s">
        <v>324</v>
      </c>
      <c r="D35" s="9" t="s">
        <v>325</v>
      </c>
      <c r="E35" s="10" t="str">
        <f>HYPERLINK("https://twitter.com/Rostros4T/status/1071432652840783881","1071432652840783881")</f>
        <v>1071432652840783881</v>
      </c>
      <c r="F35" s="11"/>
      <c r="G35" s="12" t="s">
        <v>326</v>
      </c>
      <c r="H35" s="11"/>
      <c r="I35" s="13">
        <v>0</v>
      </c>
      <c r="J35" s="13">
        <v>0</v>
      </c>
      <c r="K35" s="14" t="str">
        <f>HYPERLINK("http://twitter.com/download/android","Twitter for Android")</f>
        <v>Twitter for Android</v>
      </c>
      <c r="L35" s="13">
        <v>22</v>
      </c>
      <c r="M35" s="13">
        <v>158</v>
      </c>
      <c r="N35" s="13">
        <v>1</v>
      </c>
      <c r="O35" s="15"/>
      <c r="P35" s="6">
        <v>43034.187627314815</v>
      </c>
      <c r="Q35" s="11"/>
      <c r="R35" s="17"/>
      <c r="S35" s="11"/>
      <c r="T35" s="11"/>
      <c r="U35" s="10" t="str">
        <f>HYPERLINK("https://pbs.twimg.com/profile_images/1070483834284711937/QleB67Rc.jpg","View")</f>
        <v>View</v>
      </c>
    </row>
    <row r="36" spans="1:21" ht="20.399999999999999">
      <c r="A36" s="6">
        <v>43442.702349537038</v>
      </c>
      <c r="B36" s="7" t="str">
        <f>HYPERLINK("https://twitter.com/AntoniolaLEY","@AntoniolaLEY")</f>
        <v>@AntoniolaLEY</v>
      </c>
      <c r="C36" s="8" t="s">
        <v>330</v>
      </c>
      <c r="D36" s="9" t="s">
        <v>279</v>
      </c>
      <c r="E36" s="10" t="str">
        <f>HYPERLINK("https://twitter.com/AntoniolaLEY/status/1071432059506302976","1071432059506302976")</f>
        <v>1071432059506302976</v>
      </c>
      <c r="F36" s="12" t="s">
        <v>280</v>
      </c>
      <c r="G36" s="11"/>
      <c r="H36" s="11"/>
      <c r="I36" s="13">
        <v>3</v>
      </c>
      <c r="J36" s="13">
        <v>5</v>
      </c>
      <c r="K36" s="14" t="str">
        <f>HYPERLINK("http://twitter.com","Twitter Web Client")</f>
        <v>Twitter Web Client</v>
      </c>
      <c r="L36" s="13">
        <v>4338</v>
      </c>
      <c r="M36" s="13">
        <v>4262</v>
      </c>
      <c r="N36" s="13">
        <v>14</v>
      </c>
      <c r="O36" s="15"/>
      <c r="P36" s="6">
        <v>43046.811979166669</v>
      </c>
      <c r="Q36" s="11"/>
      <c r="R36" s="17"/>
      <c r="S36" s="11"/>
      <c r="T36" s="11"/>
      <c r="U36" s="10" t="str">
        <f>HYPERLINK("https://pbs.twimg.com/profile_images/952644898653704192/v0s_mnIf.jpg","View")</f>
        <v>View</v>
      </c>
    </row>
    <row r="37" spans="1:21" ht="30.6">
      <c r="A37" s="6">
        <v>43442.701747685191</v>
      </c>
      <c r="B37" s="7" t="str">
        <f>HYPERLINK("https://twitter.com/Wysh_","@Wysh_")</f>
        <v>@Wysh_</v>
      </c>
      <c r="C37" s="8" t="s">
        <v>335</v>
      </c>
      <c r="D37" s="9" t="s">
        <v>336</v>
      </c>
      <c r="E37" s="10" t="str">
        <f>HYPERLINK("https://twitter.com/Wysh_/status/1071431840500772865","1071431840500772865")</f>
        <v>1071431840500772865</v>
      </c>
      <c r="F37" s="11"/>
      <c r="G37" s="11"/>
      <c r="H37" s="11"/>
      <c r="I37" s="13">
        <v>1</v>
      </c>
      <c r="J37" s="13">
        <v>1</v>
      </c>
      <c r="K37" s="14" t="str">
        <f>HYPERLINK("http://twitter.com/download/android","Twitter for Android")</f>
        <v>Twitter for Android</v>
      </c>
      <c r="L37" s="13">
        <v>457</v>
      </c>
      <c r="M37" s="13">
        <v>516</v>
      </c>
      <c r="N37" s="13">
        <v>10</v>
      </c>
      <c r="O37" s="15"/>
      <c r="P37" s="6">
        <v>41830.952731481484</v>
      </c>
      <c r="Q37" s="18" t="s">
        <v>339</v>
      </c>
      <c r="R37" s="19" t="s">
        <v>340</v>
      </c>
      <c r="S37" s="12" t="s">
        <v>341</v>
      </c>
      <c r="T37" s="11"/>
      <c r="U37" s="10" t="str">
        <f>HYPERLINK("https://pbs.twimg.com/profile_images/1071357857130528769/5Rzqorq2.jpg","View")</f>
        <v>View</v>
      </c>
    </row>
    <row r="38" spans="1:21" ht="13.2">
      <c r="A38" s="6">
        <v>43442.701678240745</v>
      </c>
      <c r="B38" s="7" t="str">
        <f>HYPERLINK("https://twitter.com/caprichosnieves","@caprichosnieves")</f>
        <v>@caprichosnieves</v>
      </c>
      <c r="C38" s="8" t="s">
        <v>346</v>
      </c>
      <c r="D38" s="9" t="s">
        <v>347</v>
      </c>
      <c r="E38" s="10" t="str">
        <f>HYPERLINK("https://twitter.com/caprichosnieves/status/1071431813350993922","1071431813350993922")</f>
        <v>1071431813350993922</v>
      </c>
      <c r="F38" s="12" t="s">
        <v>166</v>
      </c>
      <c r="G38" s="11"/>
      <c r="H38" s="11"/>
      <c r="I38" s="13">
        <v>0</v>
      </c>
      <c r="J38" s="13">
        <v>0</v>
      </c>
      <c r="K38" s="14" t="str">
        <f>HYPERLINK("http://www.facebook.com/twitter","Facebook")</f>
        <v>Facebook</v>
      </c>
      <c r="L38" s="13">
        <v>23</v>
      </c>
      <c r="M38" s="13">
        <v>114</v>
      </c>
      <c r="N38" s="13">
        <v>0</v>
      </c>
      <c r="O38" s="15"/>
      <c r="P38" s="6">
        <v>41989.413969907408</v>
      </c>
      <c r="Q38" s="11"/>
      <c r="R38" s="17"/>
      <c r="S38" s="11"/>
      <c r="T38" s="11"/>
      <c r="U38" s="10" t="str">
        <f>HYPERLINK("https://pbs.twimg.com/profile_images/544778543968681984/3hhfIovh.jpeg","View")</f>
        <v>View</v>
      </c>
    </row>
    <row r="39" spans="1:21" ht="40.799999999999997">
      <c r="A39" s="6">
        <v>43442.700486111113</v>
      </c>
      <c r="B39" s="7" t="str">
        <f>HYPERLINK("https://twitter.com/Stop2Invasion","@Stop2Invasion")</f>
        <v>@Stop2Invasion</v>
      </c>
      <c r="C39" s="8" t="s">
        <v>350</v>
      </c>
      <c r="D39" s="9" t="s">
        <v>351</v>
      </c>
      <c r="E39" s="10" t="str">
        <f>HYPERLINK("https://twitter.com/Stop2Invasion/status/1071431381689999361","1071431381689999361")</f>
        <v>1071431381689999361</v>
      </c>
      <c r="F39" s="12" t="s">
        <v>86</v>
      </c>
      <c r="G39" s="11"/>
      <c r="H39" s="11"/>
      <c r="I39" s="13">
        <v>18</v>
      </c>
      <c r="J39" s="13">
        <v>23</v>
      </c>
      <c r="K39" s="14" t="str">
        <f>HYPERLINK("http://twitter.com","Twitter Web Client")</f>
        <v>Twitter Web Client</v>
      </c>
      <c r="L39" s="13">
        <v>3342</v>
      </c>
      <c r="M39" s="13">
        <v>4761</v>
      </c>
      <c r="N39" s="13">
        <v>15</v>
      </c>
      <c r="O39" s="15"/>
      <c r="P39" s="6">
        <v>43113.934444444443</v>
      </c>
      <c r="Q39" s="18" t="s">
        <v>354</v>
      </c>
      <c r="R39" s="19" t="s">
        <v>355</v>
      </c>
      <c r="S39" s="11"/>
      <c r="T39" s="11"/>
      <c r="U39" s="10" t="str">
        <f>HYPERLINK("https://pbs.twimg.com/profile_images/1070673492960518144/95iPvGje.jpg","View")</f>
        <v>View</v>
      </c>
    </row>
    <row r="40" spans="1:21" ht="20.399999999999999">
      <c r="A40" s="6">
        <v>43442.700428240743</v>
      </c>
      <c r="B40" s="7" t="str">
        <f>HYPERLINK("https://twitter.com/cucamentirosa","@cucamentirosa")</f>
        <v>@cucamentirosa</v>
      </c>
      <c r="C40" s="8" t="s">
        <v>310</v>
      </c>
      <c r="D40" s="9" t="s">
        <v>357</v>
      </c>
      <c r="E40" s="10" t="str">
        <f>HYPERLINK("https://twitter.com/cucamentirosa/status/1071431362845048840","1071431362845048840")</f>
        <v>1071431362845048840</v>
      </c>
      <c r="F40" s="11"/>
      <c r="G40" s="11"/>
      <c r="H40" s="11"/>
      <c r="I40" s="13">
        <v>0</v>
      </c>
      <c r="J40" s="13">
        <v>2</v>
      </c>
      <c r="K40" s="14" t="str">
        <f>HYPERLINK("http://twitter.com/download/iphone","Twitter for iPhone")</f>
        <v>Twitter for iPhone</v>
      </c>
      <c r="L40" s="13">
        <v>177</v>
      </c>
      <c r="M40" s="13">
        <v>130</v>
      </c>
      <c r="N40" s="13">
        <v>2</v>
      </c>
      <c r="O40" s="15"/>
      <c r="P40" s="6">
        <v>43335.24795138889</v>
      </c>
      <c r="Q40" s="11"/>
      <c r="R40" s="19" t="s">
        <v>314</v>
      </c>
      <c r="S40" s="12" t="s">
        <v>315</v>
      </c>
      <c r="T40" s="11"/>
      <c r="U40" s="10" t="str">
        <f>HYPERLINK("https://pbs.twimg.com/profile_images/1071084044807491591/tlVY4WGD.jpg","View")</f>
        <v>View</v>
      </c>
    </row>
    <row r="41" spans="1:21" ht="40.799999999999997">
      <c r="A41" s="6">
        <v>43442.70012731482</v>
      </c>
      <c r="B41" s="7" t="str">
        <f>HYPERLINK("https://twitter.com/enriquedediegov","@enriquedediegov")</f>
        <v>@enriquedediegov</v>
      </c>
      <c r="C41" s="8" t="s">
        <v>234</v>
      </c>
      <c r="D41" s="9" t="s">
        <v>235</v>
      </c>
      <c r="E41" s="10" t="str">
        <f>HYPERLINK("https://twitter.com/enriquedediegov/status/1071431253872836610","1071431253872836610")</f>
        <v>1071431253872836610</v>
      </c>
      <c r="F41" s="12" t="s">
        <v>362</v>
      </c>
      <c r="G41" s="11"/>
      <c r="H41" s="11"/>
      <c r="I41" s="13">
        <v>5</v>
      </c>
      <c r="J41" s="13">
        <v>8</v>
      </c>
      <c r="K41" s="14" t="str">
        <f>HYPERLINK("http://twitter.com","Twitter Web Client")</f>
        <v>Twitter Web Client</v>
      </c>
      <c r="L41" s="13">
        <v>7792</v>
      </c>
      <c r="M41" s="13">
        <v>6053</v>
      </c>
      <c r="N41" s="13">
        <v>179</v>
      </c>
      <c r="O41" s="15"/>
      <c r="P41" s="6">
        <v>41293.717129629629</v>
      </c>
      <c r="Q41" s="18" t="s">
        <v>42</v>
      </c>
      <c r="R41" s="19" t="s">
        <v>239</v>
      </c>
      <c r="S41" s="12" t="s">
        <v>240</v>
      </c>
      <c r="T41" s="11"/>
      <c r="U41" s="10" t="str">
        <f>HYPERLINK("https://pbs.twimg.com/profile_images/3129623790/4ae197d01442e05dee4622297c3b9642.jpeg","View")</f>
        <v>View</v>
      </c>
    </row>
    <row r="42" spans="1:21" ht="20.399999999999999">
      <c r="A42" s="6">
        <v>43442.70012731482</v>
      </c>
      <c r="B42" s="7" t="str">
        <f>HYPERLINK("https://twitter.com/RAYAVE666","@RAYAVE666")</f>
        <v>@RAYAVE666</v>
      </c>
      <c r="C42" s="8" t="s">
        <v>366</v>
      </c>
      <c r="D42" s="9" t="s">
        <v>367</v>
      </c>
      <c r="E42" s="10" t="str">
        <f>HYPERLINK("https://twitter.com/RAYAVE666/status/1071431253382049792","1071431253382049792")</f>
        <v>1071431253382049792</v>
      </c>
      <c r="F42" s="12" t="s">
        <v>369</v>
      </c>
      <c r="G42" s="11"/>
      <c r="H42" s="11"/>
      <c r="I42" s="13">
        <v>0</v>
      </c>
      <c r="J42" s="13">
        <v>0</v>
      </c>
      <c r="K42" s="14" t="str">
        <f>HYPERLINK("http://twitter.com/download/android","Twitter for Android")</f>
        <v>Twitter for Android</v>
      </c>
      <c r="L42" s="13">
        <v>1245</v>
      </c>
      <c r="M42" s="13">
        <v>1688</v>
      </c>
      <c r="N42" s="13">
        <v>2</v>
      </c>
      <c r="O42" s="15"/>
      <c r="P42" s="6">
        <v>42750.581805555557</v>
      </c>
      <c r="Q42" s="18" t="s">
        <v>42</v>
      </c>
      <c r="R42" s="17"/>
      <c r="S42" s="11"/>
      <c r="T42" s="11"/>
      <c r="U42" s="10" t="str">
        <f>HYPERLINK("https://pbs.twimg.com/profile_images/880502518605918209/Dy9vvhhz.jpg","View")</f>
        <v>View</v>
      </c>
    </row>
    <row r="43" spans="1:21" ht="51">
      <c r="A43" s="6">
        <v>43442.699976851851</v>
      </c>
      <c r="B43" s="7" t="str">
        <f>HYPERLINK("https://twitter.com/felipos49","@felipos49")</f>
        <v>@felipos49</v>
      </c>
      <c r="C43" s="8" t="s">
        <v>376</v>
      </c>
      <c r="D43" s="9" t="s">
        <v>377</v>
      </c>
      <c r="E43" s="10" t="str">
        <f>HYPERLINK("https://twitter.com/felipos49/status/1071431196582776832","1071431196582776832")</f>
        <v>1071431196582776832</v>
      </c>
      <c r="F43" s="11"/>
      <c r="G43" s="11"/>
      <c r="H43" s="11"/>
      <c r="I43" s="13">
        <v>0</v>
      </c>
      <c r="J43" s="13">
        <v>0</v>
      </c>
      <c r="K43" s="14" t="str">
        <f>HYPERLINK("http://twitter.com/download/iphone","Twitter for iPhone")</f>
        <v>Twitter for iPhone</v>
      </c>
      <c r="L43" s="13">
        <v>4</v>
      </c>
      <c r="M43" s="13">
        <v>5</v>
      </c>
      <c r="N43" s="13">
        <v>0</v>
      </c>
      <c r="O43" s="15"/>
      <c r="P43" s="6">
        <v>42776.713564814811</v>
      </c>
      <c r="Q43" s="18" t="s">
        <v>42</v>
      </c>
      <c r="R43" s="17"/>
      <c r="S43" s="11"/>
      <c r="T43" s="11"/>
      <c r="U43" s="16" t="s">
        <v>191</v>
      </c>
    </row>
    <row r="44" spans="1:21" ht="20.399999999999999">
      <c r="A44" s="6">
        <v>43442.698657407411</v>
      </c>
      <c r="B44" s="7" t="str">
        <f>HYPERLINK("https://twitter.com/Vzaino1","@Vzaino1")</f>
        <v>@Vzaino1</v>
      </c>
      <c r="C44" s="8" t="s">
        <v>381</v>
      </c>
      <c r="D44" s="9" t="s">
        <v>235</v>
      </c>
      <c r="E44" s="10" t="str">
        <f>HYPERLINK("https://twitter.com/Vzaino1/status/1071430719820443648","1071430719820443648")</f>
        <v>1071430719820443648</v>
      </c>
      <c r="F44" s="12" t="s">
        <v>382</v>
      </c>
      <c r="G44" s="11"/>
      <c r="H44" s="11"/>
      <c r="I44" s="13">
        <v>0</v>
      </c>
      <c r="J44" s="13">
        <v>0</v>
      </c>
      <c r="K44" s="14" t="str">
        <f>HYPERLINK("http://twitter.com","Twitter Web Client")</f>
        <v>Twitter Web Client</v>
      </c>
      <c r="L44" s="13">
        <v>287</v>
      </c>
      <c r="M44" s="13">
        <v>654</v>
      </c>
      <c r="N44" s="13">
        <v>0</v>
      </c>
      <c r="O44" s="15"/>
      <c r="P44" s="6">
        <v>43402.79069444444</v>
      </c>
      <c r="Q44" s="11"/>
      <c r="R44" s="19" t="s">
        <v>383</v>
      </c>
      <c r="S44" s="11"/>
      <c r="T44" s="11"/>
      <c r="U44" s="16" t="s">
        <v>191</v>
      </c>
    </row>
    <row r="45" spans="1:21" ht="71.400000000000006">
      <c r="A45" s="6">
        <v>43442.697962962964</v>
      </c>
      <c r="B45" s="7" t="str">
        <f>HYPERLINK("https://twitter.com/credit_counsell","@credit_counsell")</f>
        <v>@credit_counsell</v>
      </c>
      <c r="C45" s="8" t="s">
        <v>386</v>
      </c>
      <c r="D45" s="9" t="s">
        <v>387</v>
      </c>
      <c r="E45" s="10" t="str">
        <f>HYPERLINK("https://twitter.com/credit_counsell/status/1071430469789470721","1071430469789470721")</f>
        <v>1071430469789470721</v>
      </c>
      <c r="F45" s="12" t="s">
        <v>390</v>
      </c>
      <c r="G45" s="12" t="s">
        <v>391</v>
      </c>
      <c r="H45" s="11"/>
      <c r="I45" s="13">
        <v>0</v>
      </c>
      <c r="J45" s="13">
        <v>2</v>
      </c>
      <c r="K45" s="14" t="str">
        <f>HYPERLINK("https://dlvrit.com/","dlvr.it")</f>
        <v>dlvr.it</v>
      </c>
      <c r="L45" s="13">
        <v>25</v>
      </c>
      <c r="M45" s="13">
        <v>2</v>
      </c>
      <c r="N45" s="13">
        <v>0</v>
      </c>
      <c r="O45" s="15"/>
      <c r="P45" s="6">
        <v>41862.318472222221</v>
      </c>
      <c r="Q45" s="18" t="s">
        <v>386</v>
      </c>
      <c r="R45" s="19" t="s">
        <v>393</v>
      </c>
      <c r="S45" s="12" t="s">
        <v>394</v>
      </c>
      <c r="T45" s="11"/>
      <c r="U45" s="10" t="str">
        <f>HYPERLINK("https://pbs.twimg.com/profile_images/786813450223624192/WHSR8zvW.jpg","View")</f>
        <v>View</v>
      </c>
    </row>
    <row r="46" spans="1:21" ht="40.799999999999997">
      <c r="A46" s="6">
        <v>43442.697916666672</v>
      </c>
      <c r="B46" s="7" t="str">
        <f>HYPERLINK("https://twitter.com/larazon_es","@larazon_es")</f>
        <v>@larazon_es</v>
      </c>
      <c r="C46" s="8" t="s">
        <v>87</v>
      </c>
      <c r="D46" s="9" t="s">
        <v>88</v>
      </c>
      <c r="E46" s="10" t="str">
        <f>HYPERLINK("https://twitter.com/larazon_es/status/1071430452823646208","1071430452823646208")</f>
        <v>1071430452823646208</v>
      </c>
      <c r="F46" s="12" t="s">
        <v>91</v>
      </c>
      <c r="G46" s="12" t="s">
        <v>92</v>
      </c>
      <c r="H46" s="11"/>
      <c r="I46" s="13">
        <v>15</v>
      </c>
      <c r="J46" s="13">
        <v>11</v>
      </c>
      <c r="K46" s="14" t="str">
        <f>HYPERLINK("http://dogtrack.es","DogTrack_Oficial")</f>
        <v>DogTrack_Oficial</v>
      </c>
      <c r="L46" s="13">
        <v>442246</v>
      </c>
      <c r="M46" s="13">
        <v>2961</v>
      </c>
      <c r="N46" s="13">
        <v>6161</v>
      </c>
      <c r="O46" s="16" t="s">
        <v>25</v>
      </c>
      <c r="P46" s="6">
        <v>40218.530092592591</v>
      </c>
      <c r="Q46" s="18" t="s">
        <v>42</v>
      </c>
      <c r="R46" s="19" t="s">
        <v>93</v>
      </c>
      <c r="S46" s="12" t="s">
        <v>94</v>
      </c>
      <c r="T46" s="11"/>
      <c r="U46" s="10" t="str">
        <f>HYPERLINK("https://pbs.twimg.com/profile_images/1038331271108341762/TPuwz6wc.jpg","View")</f>
        <v>View</v>
      </c>
    </row>
    <row r="47" spans="1:21" ht="13.2">
      <c r="A47" s="6">
        <v>43442.697708333333</v>
      </c>
      <c r="B47" s="7" t="str">
        <f>HYPERLINK("https://twitter.com/qqqqetru","@qqqqetru")</f>
        <v>@qqqqetru</v>
      </c>
      <c r="C47" s="8" t="s">
        <v>127</v>
      </c>
      <c r="D47" s="9" t="s">
        <v>402</v>
      </c>
      <c r="E47" s="10" t="str">
        <f>HYPERLINK("https://twitter.com/qqqqetru/status/1071430376210477057","1071430376210477057")</f>
        <v>1071430376210477057</v>
      </c>
      <c r="F47" s="12" t="s">
        <v>403</v>
      </c>
      <c r="G47" s="11"/>
      <c r="H47" s="11"/>
      <c r="I47" s="13">
        <v>0</v>
      </c>
      <c r="J47" s="13">
        <v>0</v>
      </c>
      <c r="K47" s="14" t="str">
        <f t="shared" ref="K47:K49" si="5">HYPERLINK("http://twitter.com/download/android","Twitter for Android")</f>
        <v>Twitter for Android</v>
      </c>
      <c r="L47" s="13">
        <v>649</v>
      </c>
      <c r="M47" s="13">
        <v>1194</v>
      </c>
      <c r="N47" s="13">
        <v>2</v>
      </c>
      <c r="O47" s="15"/>
      <c r="P47" s="6">
        <v>40749.437719907408</v>
      </c>
      <c r="Q47" s="11"/>
      <c r="R47" s="17"/>
      <c r="S47" s="11"/>
      <c r="T47" s="11"/>
      <c r="U47" s="10" t="str">
        <f>HYPERLINK("https://pbs.twimg.com/profile_images/1069734331780870144/d_KYpBFy.jpg","View")</f>
        <v>View</v>
      </c>
    </row>
    <row r="48" spans="1:21" ht="30.6">
      <c r="A48" s="6">
        <v>43442.697488425925</v>
      </c>
      <c r="B48" s="7" t="str">
        <f>HYPERLINK("https://twitter.com/mcyava","@mcyava")</f>
        <v>@mcyava</v>
      </c>
      <c r="C48" s="8" t="s">
        <v>408</v>
      </c>
      <c r="D48" s="9" t="s">
        <v>410</v>
      </c>
      <c r="E48" s="10" t="str">
        <f>HYPERLINK("https://twitter.com/mcyava/status/1071430296770408448","1071430296770408448")</f>
        <v>1071430296770408448</v>
      </c>
      <c r="F48" s="11"/>
      <c r="G48" s="12" t="s">
        <v>411</v>
      </c>
      <c r="H48" s="11"/>
      <c r="I48" s="13">
        <v>14</v>
      </c>
      <c r="J48" s="13">
        <v>16</v>
      </c>
      <c r="K48" s="14" t="str">
        <f t="shared" si="5"/>
        <v>Twitter for Android</v>
      </c>
      <c r="L48" s="13">
        <v>16630</v>
      </c>
      <c r="M48" s="13">
        <v>12849</v>
      </c>
      <c r="N48" s="13">
        <v>90</v>
      </c>
      <c r="O48" s="15"/>
      <c r="P48" s="6">
        <v>40819.440150462964</v>
      </c>
      <c r="Q48" s="18" t="s">
        <v>42</v>
      </c>
      <c r="R48" s="19" t="s">
        <v>412</v>
      </c>
      <c r="S48" s="11"/>
      <c r="T48" s="11"/>
      <c r="U48" s="10" t="str">
        <f>HYPERLINK("https://pbs.twimg.com/profile_images/957202578210738176/msS95mss.jpg","View")</f>
        <v>View</v>
      </c>
    </row>
    <row r="49" spans="1:21" ht="20.399999999999999">
      <c r="A49" s="6">
        <v>43442.69730324074</v>
      </c>
      <c r="B49" s="7" t="str">
        <f>HYPERLINK("https://twitter.com/Fenix_Nebeda","@Fenix_Nebeda")</f>
        <v>@Fenix_Nebeda</v>
      </c>
      <c r="C49" s="8" t="s">
        <v>416</v>
      </c>
      <c r="D49" s="9" t="s">
        <v>148</v>
      </c>
      <c r="E49" s="10" t="str">
        <f>HYPERLINK("https://twitter.com/Fenix_Nebeda/status/1071430228109598720","1071430228109598720")</f>
        <v>1071430228109598720</v>
      </c>
      <c r="F49" s="12" t="s">
        <v>149</v>
      </c>
      <c r="G49" s="11"/>
      <c r="H49" s="11"/>
      <c r="I49" s="13">
        <v>0</v>
      </c>
      <c r="J49" s="13">
        <v>0</v>
      </c>
      <c r="K49" s="14" t="str">
        <f t="shared" si="5"/>
        <v>Twitter for Android</v>
      </c>
      <c r="L49" s="13">
        <v>541</v>
      </c>
      <c r="M49" s="13">
        <v>881</v>
      </c>
      <c r="N49" s="13">
        <v>3</v>
      </c>
      <c r="O49" s="15"/>
      <c r="P49" s="6">
        <v>41978.363125000003</v>
      </c>
      <c r="Q49" s="18" t="s">
        <v>42</v>
      </c>
      <c r="R49" s="19" t="s">
        <v>419</v>
      </c>
      <c r="S49" s="11"/>
      <c r="T49" s="11"/>
      <c r="U49" s="10" t="str">
        <f>HYPERLINK("https://pbs.twimg.com/profile_images/713378757499822080/rtJBJONL.jpg","View")</f>
        <v>View</v>
      </c>
    </row>
    <row r="50" spans="1:21" ht="40.799999999999997">
      <c r="A50" s="6">
        <v>43442.69703703704</v>
      </c>
      <c r="B50" s="7" t="str">
        <f>HYPERLINK("https://twitter.com/roaldcs","@roaldcs")</f>
        <v>@roaldcs</v>
      </c>
      <c r="C50" s="8" t="s">
        <v>422</v>
      </c>
      <c r="D50" s="9" t="s">
        <v>423</v>
      </c>
      <c r="E50" s="10" t="str">
        <f>HYPERLINK("https://twitter.com/roaldcs/status/1071430131439337472","1071430131439337472")</f>
        <v>1071430131439337472</v>
      </c>
      <c r="F50" s="11"/>
      <c r="G50" s="11"/>
      <c r="H50" s="11"/>
      <c r="I50" s="13">
        <v>0</v>
      </c>
      <c r="J50" s="13">
        <v>0</v>
      </c>
      <c r="K50" s="14" t="str">
        <f>HYPERLINK("http://twitter.com/#!/download/ipad","Twitter for iPad")</f>
        <v>Twitter for iPad</v>
      </c>
      <c r="L50" s="13">
        <v>2416</v>
      </c>
      <c r="M50" s="13">
        <v>3103</v>
      </c>
      <c r="N50" s="13">
        <v>97</v>
      </c>
      <c r="O50" s="15"/>
      <c r="P50" s="6">
        <v>39727.38921296296</v>
      </c>
      <c r="Q50" s="18" t="s">
        <v>424</v>
      </c>
      <c r="R50" s="19" t="s">
        <v>425</v>
      </c>
      <c r="S50" s="12" t="s">
        <v>427</v>
      </c>
      <c r="T50" s="11"/>
      <c r="U50" s="10" t="str">
        <f>HYPERLINK("https://pbs.twimg.com/profile_images/1054499157145239552/HhGbOXfh.jpg","View")</f>
        <v>View</v>
      </c>
    </row>
    <row r="51" spans="1:21" ht="30.6">
      <c r="A51" s="6">
        <v>43442.695868055554</v>
      </c>
      <c r="B51" s="7" t="str">
        <f>HYPERLINK("https://twitter.com/ochinabos","@ochinabos")</f>
        <v>@ochinabos</v>
      </c>
      <c r="C51" s="8" t="s">
        <v>96</v>
      </c>
      <c r="D51" s="9" t="s">
        <v>97</v>
      </c>
      <c r="E51" s="10" t="str">
        <f>HYPERLINK("https://twitter.com/ochinabos/status/1071429709454565381","1071429709454565381")</f>
        <v>1071429709454565381</v>
      </c>
      <c r="F51" s="11"/>
      <c r="G51" s="12" t="s">
        <v>99</v>
      </c>
      <c r="H51" s="11"/>
      <c r="I51" s="13">
        <v>1</v>
      </c>
      <c r="J51" s="13">
        <v>2</v>
      </c>
      <c r="K51" s="14" t="str">
        <f t="shared" ref="K51:K52" si="6">HYPERLINK("http://twitter.com","Twitter Web Client")</f>
        <v>Twitter Web Client</v>
      </c>
      <c r="L51" s="13">
        <v>4918</v>
      </c>
      <c r="M51" s="13">
        <v>2305</v>
      </c>
      <c r="N51" s="13">
        <v>166</v>
      </c>
      <c r="O51" s="15"/>
      <c r="P51" s="6">
        <v>39876.381678240738</v>
      </c>
      <c r="Q51" s="18" t="s">
        <v>100</v>
      </c>
      <c r="R51" s="19" t="s">
        <v>102</v>
      </c>
      <c r="S51" s="12" t="s">
        <v>104</v>
      </c>
      <c r="T51" s="11"/>
      <c r="U51" s="10" t="str">
        <f>HYPERLINK("https://pbs.twimg.com/profile_images/947998569931460608/IIrq_SyS.jpg","View")</f>
        <v>View</v>
      </c>
    </row>
    <row r="52" spans="1:21" ht="20.399999999999999">
      <c r="A52" s="6">
        <v>43442.695497685185</v>
      </c>
      <c r="B52" s="7" t="str">
        <f>HYPERLINK("https://twitter.com/Jacobo7elbobo","@Jacobo7elbobo")</f>
        <v>@Jacobo7elbobo</v>
      </c>
      <c r="C52" s="8" t="s">
        <v>147</v>
      </c>
      <c r="D52" s="9" t="s">
        <v>367</v>
      </c>
      <c r="E52" s="10" t="str">
        <f>HYPERLINK("https://twitter.com/Jacobo7elbobo/status/1071429575677276160","1071429575677276160")</f>
        <v>1071429575677276160</v>
      </c>
      <c r="F52" s="12" t="s">
        <v>369</v>
      </c>
      <c r="G52" s="11"/>
      <c r="H52" s="11"/>
      <c r="I52" s="13">
        <v>0</v>
      </c>
      <c r="J52" s="13">
        <v>2</v>
      </c>
      <c r="K52" s="14" t="str">
        <f t="shared" si="6"/>
        <v>Twitter Web Client</v>
      </c>
      <c r="L52" s="13">
        <v>5561</v>
      </c>
      <c r="M52" s="13">
        <v>5286</v>
      </c>
      <c r="N52" s="13">
        <v>8</v>
      </c>
      <c r="O52" s="15"/>
      <c r="P52" s="6">
        <v>42315.993460648147</v>
      </c>
      <c r="Q52" s="18" t="s">
        <v>152</v>
      </c>
      <c r="R52" s="19" t="s">
        <v>153</v>
      </c>
      <c r="S52" s="11"/>
      <c r="T52" s="11"/>
      <c r="U52" s="10" t="str">
        <f>HYPERLINK("https://pbs.twimg.com/profile_images/972809079289675776/alLBdem6.jpg","View")</f>
        <v>View</v>
      </c>
    </row>
    <row r="53" spans="1:21" ht="40.799999999999997">
      <c r="A53" s="6">
        <v>43442.694872685184</v>
      </c>
      <c r="B53" s="7" t="str">
        <f>HYPERLINK("https://twitter.com/novomedinilla","@novomedinilla")</f>
        <v>@novomedinilla</v>
      </c>
      <c r="C53" s="8" t="s">
        <v>442</v>
      </c>
      <c r="D53" s="9" t="s">
        <v>285</v>
      </c>
      <c r="E53" s="10" t="str">
        <f>HYPERLINK("https://twitter.com/novomedinilla/status/1071429349130285056","1071429349130285056")</f>
        <v>1071429349130285056</v>
      </c>
      <c r="F53" s="12" t="s">
        <v>290</v>
      </c>
      <c r="G53" s="11"/>
      <c r="H53" s="11"/>
      <c r="I53" s="13">
        <v>7</v>
      </c>
      <c r="J53" s="13">
        <v>10</v>
      </c>
      <c r="K53" s="14" t="str">
        <f>HYPERLINK("http://twitter.com/download/android","Twitter for Android")</f>
        <v>Twitter for Android</v>
      </c>
      <c r="L53" s="13">
        <v>10725</v>
      </c>
      <c r="M53" s="13">
        <v>9477</v>
      </c>
      <c r="N53" s="13">
        <v>87</v>
      </c>
      <c r="O53" s="15"/>
      <c r="P53" s="6">
        <v>40424.661354166667</v>
      </c>
      <c r="Q53" s="18" t="s">
        <v>447</v>
      </c>
      <c r="R53" s="19" t="s">
        <v>448</v>
      </c>
      <c r="S53" s="12" t="s">
        <v>449</v>
      </c>
      <c r="T53" s="11"/>
      <c r="U53" s="10" t="str">
        <f>HYPERLINK("https://pbs.twimg.com/profile_images/986522746967511040/mbYZaTmD.jpg","View")</f>
        <v>View</v>
      </c>
    </row>
    <row r="54" spans="1:21" ht="51">
      <c r="A54" s="6">
        <v>43442.694837962961</v>
      </c>
      <c r="B54" s="7" t="str">
        <f>HYPERLINK("https://twitter.com/pigdemont_","@pigdemont_")</f>
        <v>@pigdemont_</v>
      </c>
      <c r="C54" s="8" t="s">
        <v>108</v>
      </c>
      <c r="D54" s="9" t="s">
        <v>109</v>
      </c>
      <c r="E54" s="10" t="str">
        <f>HYPERLINK("https://twitter.com/pigdemont_/status/1071429335725293568","1071429335725293568")</f>
        <v>1071429335725293568</v>
      </c>
      <c r="F54" s="11"/>
      <c r="G54" s="12" t="s">
        <v>113</v>
      </c>
      <c r="H54" s="11"/>
      <c r="I54" s="13">
        <v>14</v>
      </c>
      <c r="J54" s="13">
        <v>26</v>
      </c>
      <c r="K54" s="14" t="str">
        <f>HYPERLINK("http://twitter.com","Twitter Web Client")</f>
        <v>Twitter Web Client</v>
      </c>
      <c r="L54" s="13">
        <v>12369</v>
      </c>
      <c r="M54" s="13">
        <v>9555</v>
      </c>
      <c r="N54" s="13">
        <v>25</v>
      </c>
      <c r="O54" s="15"/>
      <c r="P54" s="6">
        <v>43071.850173611107</v>
      </c>
      <c r="Q54" s="11"/>
      <c r="R54" s="19" t="s">
        <v>115</v>
      </c>
      <c r="S54" s="12" t="s">
        <v>117</v>
      </c>
      <c r="T54" s="11"/>
      <c r="U54" s="10" t="str">
        <f>HYPERLINK("https://pbs.twimg.com/profile_images/939567068277628928/PjRUGrZ6.jpg","View")</f>
        <v>View</v>
      </c>
    </row>
    <row r="55" spans="1:21" ht="13.2">
      <c r="A55" s="6">
        <v>43442.693877314814</v>
      </c>
      <c r="B55" s="7" t="str">
        <f>HYPERLINK("https://twitter.com/qqqqetru","@qqqqetru")</f>
        <v>@qqqqetru</v>
      </c>
      <c r="C55" s="8" t="s">
        <v>127</v>
      </c>
      <c r="D55" s="9" t="s">
        <v>461</v>
      </c>
      <c r="E55" s="10" t="str">
        <f>HYPERLINK("https://twitter.com/qqqqetru/status/1071428988252364800","1071428988252364800")</f>
        <v>1071428988252364800</v>
      </c>
      <c r="F55" s="12" t="s">
        <v>463</v>
      </c>
      <c r="G55" s="11"/>
      <c r="H55" s="11"/>
      <c r="I55" s="13">
        <v>0</v>
      </c>
      <c r="J55" s="13">
        <v>0</v>
      </c>
      <c r="K55" s="14" t="str">
        <f t="shared" ref="K55:K57" si="7">HYPERLINK("http://twitter.com/download/android","Twitter for Android")</f>
        <v>Twitter for Android</v>
      </c>
      <c r="L55" s="13">
        <v>649</v>
      </c>
      <c r="M55" s="13">
        <v>1194</v>
      </c>
      <c r="N55" s="13">
        <v>2</v>
      </c>
      <c r="O55" s="15"/>
      <c r="P55" s="6">
        <v>40749.437719907408</v>
      </c>
      <c r="Q55" s="11"/>
      <c r="R55" s="17"/>
      <c r="S55" s="11"/>
      <c r="T55" s="11"/>
      <c r="U55" s="10" t="str">
        <f>HYPERLINK("https://pbs.twimg.com/profile_images/1069734331780870144/d_KYpBFy.jpg","View")</f>
        <v>View</v>
      </c>
    </row>
    <row r="56" spans="1:21" ht="71.400000000000006">
      <c r="A56" s="6">
        <v>43442.69368055556</v>
      </c>
      <c r="B56" s="7" t="str">
        <f>HYPERLINK("https://twitter.com/JuanmaG71","@JuanmaG71")</f>
        <v>@JuanmaG71</v>
      </c>
      <c r="C56" s="8" t="s">
        <v>118</v>
      </c>
      <c r="D56" s="9" t="s">
        <v>119</v>
      </c>
      <c r="E56" s="10" t="str">
        <f>HYPERLINK("https://twitter.com/JuanmaG71/status/1071428915292454912","1071428915292454912")</f>
        <v>1071428915292454912</v>
      </c>
      <c r="F56" s="12" t="s">
        <v>122</v>
      </c>
      <c r="G56" s="12" t="s">
        <v>124</v>
      </c>
      <c r="H56" s="11"/>
      <c r="I56" s="13">
        <v>0</v>
      </c>
      <c r="J56" s="13">
        <v>0</v>
      </c>
      <c r="K56" s="14" t="str">
        <f t="shared" si="7"/>
        <v>Twitter for Android</v>
      </c>
      <c r="L56" s="13">
        <v>470</v>
      </c>
      <c r="M56" s="13">
        <v>863</v>
      </c>
      <c r="N56" s="13">
        <v>9</v>
      </c>
      <c r="O56" s="15"/>
      <c r="P56" s="6">
        <v>41246.57508101852</v>
      </c>
      <c r="Q56" s="18" t="s">
        <v>41</v>
      </c>
      <c r="R56" s="19" t="s">
        <v>125</v>
      </c>
      <c r="S56" s="11"/>
      <c r="T56" s="11"/>
      <c r="U56" s="10" t="str">
        <f>HYPERLINK("https://pbs.twimg.com/profile_images/1066350743773433856/9K6Ez89q.jpg","View")</f>
        <v>View</v>
      </c>
    </row>
    <row r="57" spans="1:21" ht="13.2">
      <c r="A57" s="6">
        <v>43442.69331018519</v>
      </c>
      <c r="B57" s="7" t="str">
        <f>HYPERLINK("https://twitter.com/qqqqetru","@qqqqetru")</f>
        <v>@qqqqetru</v>
      </c>
      <c r="C57" s="8" t="s">
        <v>127</v>
      </c>
      <c r="D57" s="9" t="s">
        <v>128</v>
      </c>
      <c r="E57" s="10" t="str">
        <f>HYPERLINK("https://twitter.com/qqqqetru/status/1071428782135881728","1071428782135881728")</f>
        <v>1071428782135881728</v>
      </c>
      <c r="F57" s="12" t="s">
        <v>131</v>
      </c>
      <c r="G57" s="11"/>
      <c r="H57" s="11"/>
      <c r="I57" s="13">
        <v>0</v>
      </c>
      <c r="J57" s="13">
        <v>0</v>
      </c>
      <c r="K57" s="14" t="str">
        <f t="shared" si="7"/>
        <v>Twitter for Android</v>
      </c>
      <c r="L57" s="13">
        <v>649</v>
      </c>
      <c r="M57" s="13">
        <v>1194</v>
      </c>
      <c r="N57" s="13">
        <v>2</v>
      </c>
      <c r="O57" s="15"/>
      <c r="P57" s="6">
        <v>40749.437719907408</v>
      </c>
      <c r="Q57" s="11"/>
      <c r="R57" s="17"/>
      <c r="S57" s="11"/>
      <c r="T57" s="11"/>
      <c r="U57" s="10" t="str">
        <f>HYPERLINK("https://pbs.twimg.com/profile_images/1069734331780870144/d_KYpBFy.jpg","View")</f>
        <v>View</v>
      </c>
    </row>
    <row r="58" spans="1:21" ht="40.799999999999997">
      <c r="A58" s="6">
        <v>43442.691967592589</v>
      </c>
      <c r="B58" s="7" t="str">
        <f>HYPERLINK("https://twitter.com/Aussie22222","@Aussie22222")</f>
        <v>@Aussie22222</v>
      </c>
      <c r="C58" s="8" t="s">
        <v>479</v>
      </c>
      <c r="D58" s="9" t="s">
        <v>481</v>
      </c>
      <c r="E58" s="10" t="str">
        <f>HYPERLINK("https://twitter.com/Aussie22222/status/1071428295231750144","1071428295231750144")</f>
        <v>1071428295231750144</v>
      </c>
      <c r="F58" s="12" t="s">
        <v>280</v>
      </c>
      <c r="G58" s="11"/>
      <c r="H58" s="11"/>
      <c r="I58" s="13">
        <v>0</v>
      </c>
      <c r="J58" s="13">
        <v>0</v>
      </c>
      <c r="K58" s="14" t="str">
        <f>HYPERLINK("http://twitter.com","Twitter Web Client")</f>
        <v>Twitter Web Client</v>
      </c>
      <c r="L58" s="13">
        <v>245</v>
      </c>
      <c r="M58" s="13">
        <v>487</v>
      </c>
      <c r="N58" s="13">
        <v>10</v>
      </c>
      <c r="O58" s="15"/>
      <c r="P58" s="6">
        <v>40922.844756944447</v>
      </c>
      <c r="Q58" s="18" t="s">
        <v>307</v>
      </c>
      <c r="R58" s="19" t="s">
        <v>486</v>
      </c>
      <c r="S58" s="11"/>
      <c r="T58" s="11"/>
      <c r="U58" s="10" t="str">
        <f>HYPERLINK("https://pbs.twimg.com/profile_images/1051172117214126081/qr7-DQWY.jpg","View")</f>
        <v>View</v>
      </c>
    </row>
    <row r="59" spans="1:21" ht="40.799999999999997">
      <c r="A59" s="6">
        <v>43442.691921296297</v>
      </c>
      <c r="B59" s="7" t="str">
        <f>HYPERLINK("https://twitter.com/vallisoleti1","@vallisoleti1")</f>
        <v>@vallisoleti1</v>
      </c>
      <c r="C59" s="8" t="s">
        <v>490</v>
      </c>
      <c r="D59" s="9" t="s">
        <v>491</v>
      </c>
      <c r="E59" s="10" t="str">
        <f>HYPERLINK("https://twitter.com/vallisoleti1/status/1071428277779210240","1071428277779210240")</f>
        <v>1071428277779210240</v>
      </c>
      <c r="F59" s="12" t="s">
        <v>494</v>
      </c>
      <c r="G59" s="11"/>
      <c r="H59" s="11"/>
      <c r="I59" s="13">
        <v>0</v>
      </c>
      <c r="J59" s="13">
        <v>0</v>
      </c>
      <c r="K59" s="14" t="str">
        <f t="shared" ref="K59:K60" si="8">HYPERLINK("http://twitter.com/download/android","Twitter for Android")</f>
        <v>Twitter for Android</v>
      </c>
      <c r="L59" s="13">
        <v>230</v>
      </c>
      <c r="M59" s="13">
        <v>224</v>
      </c>
      <c r="N59" s="13">
        <v>2</v>
      </c>
      <c r="O59" s="15"/>
      <c r="P59" s="6">
        <v>42658.558090277773</v>
      </c>
      <c r="Q59" s="11"/>
      <c r="R59" s="19" t="s">
        <v>495</v>
      </c>
      <c r="S59" s="11"/>
      <c r="T59" s="11"/>
      <c r="U59" s="10" t="str">
        <f>HYPERLINK("https://pbs.twimg.com/profile_images/950689295253336066/dgChOPbM.jpg","View")</f>
        <v>View</v>
      </c>
    </row>
    <row r="60" spans="1:21" ht="30.6">
      <c r="A60" s="6">
        <v>43442.691840277781</v>
      </c>
      <c r="B60" s="7" t="str">
        <f>HYPERLINK("https://twitter.com/no_facha","@no_facha")</f>
        <v>@no_facha</v>
      </c>
      <c r="C60" s="8" t="s">
        <v>500</v>
      </c>
      <c r="D60" s="9" t="s">
        <v>501</v>
      </c>
      <c r="E60" s="10" t="str">
        <f>HYPERLINK("https://twitter.com/no_facha/status/1071428248343666694","1071428248343666694")</f>
        <v>1071428248343666694</v>
      </c>
      <c r="F60" s="12" t="s">
        <v>503</v>
      </c>
      <c r="G60" s="11"/>
      <c r="H60" s="11"/>
      <c r="I60" s="13">
        <v>0</v>
      </c>
      <c r="J60" s="13">
        <v>0</v>
      </c>
      <c r="K60" s="14" t="str">
        <f t="shared" si="8"/>
        <v>Twitter for Android</v>
      </c>
      <c r="L60" s="13">
        <v>157</v>
      </c>
      <c r="M60" s="13">
        <v>117</v>
      </c>
      <c r="N60" s="13">
        <v>2</v>
      </c>
      <c r="O60" s="15"/>
      <c r="P60" s="6">
        <v>43397.989907407406</v>
      </c>
      <c r="Q60" s="11"/>
      <c r="R60" s="19" t="s">
        <v>506</v>
      </c>
      <c r="S60" s="11"/>
      <c r="T60" s="11"/>
      <c r="U60" s="10" t="str">
        <f>HYPERLINK("https://pbs.twimg.com/profile_images/1055214215588384770/e6FCyPKs.jpg","View")</f>
        <v>View</v>
      </c>
    </row>
    <row r="61" spans="1:21" ht="40.799999999999997">
      <c r="A61" s="6">
        <v>43442.690370370372</v>
      </c>
      <c r="B61" s="7" t="str">
        <f>HYPERLINK("https://twitter.com/enriquedediegov","@enriquedediegov")</f>
        <v>@enriquedediegov</v>
      </c>
      <c r="C61" s="8" t="s">
        <v>234</v>
      </c>
      <c r="D61" s="9" t="s">
        <v>235</v>
      </c>
      <c r="E61" s="10" t="str">
        <f>HYPERLINK("https://twitter.com/enriquedediegov/status/1071427716384243712","1071427716384243712")</f>
        <v>1071427716384243712</v>
      </c>
      <c r="F61" s="12" t="s">
        <v>510</v>
      </c>
      <c r="G61" s="11"/>
      <c r="H61" s="11"/>
      <c r="I61" s="13">
        <v>2</v>
      </c>
      <c r="J61" s="13">
        <v>3</v>
      </c>
      <c r="K61" s="14" t="str">
        <f>HYPERLINK("http://twitter.com","Twitter Web Client")</f>
        <v>Twitter Web Client</v>
      </c>
      <c r="L61" s="13">
        <v>7792</v>
      </c>
      <c r="M61" s="13">
        <v>6053</v>
      </c>
      <c r="N61" s="13">
        <v>179</v>
      </c>
      <c r="O61" s="15"/>
      <c r="P61" s="6">
        <v>41293.717129629629</v>
      </c>
      <c r="Q61" s="18" t="s">
        <v>42</v>
      </c>
      <c r="R61" s="19" t="s">
        <v>239</v>
      </c>
      <c r="S61" s="12" t="s">
        <v>240</v>
      </c>
      <c r="T61" s="11"/>
      <c r="U61" s="10" t="str">
        <f>HYPERLINK("https://pbs.twimg.com/profile_images/3129623790/4ae197d01442e05dee4622297c3b9642.jpeg","View")</f>
        <v>View</v>
      </c>
    </row>
    <row r="62" spans="1:21" ht="30.6">
      <c r="A62" s="6">
        <v>43442.689583333333</v>
      </c>
      <c r="B62" s="7" t="str">
        <f>HYPERLINK("https://twitter.com/ElHuffPost","@ElHuffPost")</f>
        <v>@ElHuffPost</v>
      </c>
      <c r="C62" s="8" t="s">
        <v>517</v>
      </c>
      <c r="D62" s="9" t="s">
        <v>518</v>
      </c>
      <c r="E62" s="10" t="str">
        <f>HYPERLINK("https://twitter.com/ElHuffPost/status/1071427431351881729","1071427431351881729")</f>
        <v>1071427431351881729</v>
      </c>
      <c r="F62" s="12" t="s">
        <v>521</v>
      </c>
      <c r="G62" s="11"/>
      <c r="H62" s="11"/>
      <c r="I62" s="13">
        <v>0</v>
      </c>
      <c r="J62" s="13">
        <v>0</v>
      </c>
      <c r="K62" s="14" t="str">
        <f>HYPERLINK("https://about.twitter.com/products/tweetdeck","TweetDeck")</f>
        <v>TweetDeck</v>
      </c>
      <c r="L62" s="13">
        <v>431181</v>
      </c>
      <c r="M62" s="13">
        <v>1551</v>
      </c>
      <c r="N62" s="13">
        <v>8205</v>
      </c>
      <c r="O62" s="16" t="s">
        <v>25</v>
      </c>
      <c r="P62" s="6">
        <v>40785.027118055557</v>
      </c>
      <c r="Q62" s="18" t="s">
        <v>100</v>
      </c>
      <c r="R62" s="19" t="s">
        <v>523</v>
      </c>
      <c r="S62" s="12" t="s">
        <v>524</v>
      </c>
      <c r="T62" s="11"/>
      <c r="U62" s="10" t="str">
        <f>HYPERLINK("https://pbs.twimg.com/profile_images/921140803422089217/ETOEUOAx.jpg","View")</f>
        <v>View</v>
      </c>
    </row>
    <row r="63" spans="1:21" ht="51">
      <c r="A63" s="6">
        <v>43442.689386574071</v>
      </c>
      <c r="B63" s="7" t="str">
        <f>HYPERLINK("https://twitter.com/ChiquiValero1","@ChiquiValero1")</f>
        <v>@ChiquiValero1</v>
      </c>
      <c r="C63" s="8" t="s">
        <v>527</v>
      </c>
      <c r="D63" s="9" t="s">
        <v>528</v>
      </c>
      <c r="E63" s="10" t="str">
        <f>HYPERLINK("https://twitter.com/ChiquiValero1/status/1071427360216530949","1071427360216530949")</f>
        <v>1071427360216530949</v>
      </c>
      <c r="F63" s="12" t="s">
        <v>531</v>
      </c>
      <c r="G63" s="11"/>
      <c r="H63" s="11"/>
      <c r="I63" s="13">
        <v>0</v>
      </c>
      <c r="J63" s="13">
        <v>0</v>
      </c>
      <c r="K63" s="14" t="str">
        <f>HYPERLINK("http://www.facebook.com/twitter","Facebook")</f>
        <v>Facebook</v>
      </c>
      <c r="L63" s="13">
        <v>177</v>
      </c>
      <c r="M63" s="13">
        <v>237</v>
      </c>
      <c r="N63" s="13">
        <v>2</v>
      </c>
      <c r="O63" s="15"/>
      <c r="P63" s="6">
        <v>40821.137604166666</v>
      </c>
      <c r="Q63" s="18" t="s">
        <v>42</v>
      </c>
      <c r="R63" s="19" t="s">
        <v>534</v>
      </c>
      <c r="S63" s="11"/>
      <c r="T63" s="11"/>
      <c r="U63" s="10" t="str">
        <f>HYPERLINK("https://pbs.twimg.com/profile_images/2736819431/322300bcd4bcee76f3867d2c9cdf1be5.jpeg","View")</f>
        <v>View</v>
      </c>
    </row>
    <row r="64" spans="1:21" ht="30.6">
      <c r="A64" s="6">
        <v>43442.688310185185</v>
      </c>
      <c r="B64" s="7" t="str">
        <f>HYPERLINK("https://twitter.com/Beta9Angel","@Beta9Angel")</f>
        <v>@Beta9Angel</v>
      </c>
      <c r="C64" s="8" t="s">
        <v>539</v>
      </c>
      <c r="D64" s="9" t="s">
        <v>540</v>
      </c>
      <c r="E64" s="10" t="str">
        <f>HYPERLINK("https://twitter.com/Beta9Angel/status/1071426972167876610","1071426972167876610")</f>
        <v>1071426972167876610</v>
      </c>
      <c r="F64" s="12" t="s">
        <v>542</v>
      </c>
      <c r="G64" s="11"/>
      <c r="H64" s="11"/>
      <c r="I64" s="13">
        <v>0</v>
      </c>
      <c r="J64" s="13">
        <v>0</v>
      </c>
      <c r="K64" s="14" t="str">
        <f>HYPERLINK("http://twitter.com","Twitter Web Client")</f>
        <v>Twitter Web Client</v>
      </c>
      <c r="L64" s="13">
        <v>1095</v>
      </c>
      <c r="M64" s="13">
        <v>1083</v>
      </c>
      <c r="N64" s="13">
        <v>7</v>
      </c>
      <c r="O64" s="15"/>
      <c r="P64" s="6">
        <v>40882.728761574072</v>
      </c>
      <c r="Q64" s="18" t="s">
        <v>42</v>
      </c>
      <c r="R64" s="19" t="s">
        <v>544</v>
      </c>
      <c r="S64" s="11"/>
      <c r="T64" s="11"/>
      <c r="U64" s="10" t="str">
        <f>HYPERLINK("https://pbs.twimg.com/profile_images/846535049843544067/8MKM76fZ.jpg","View")</f>
        <v>View</v>
      </c>
    </row>
    <row r="65" spans="1:21" ht="40.799999999999997">
      <c r="A65" s="6">
        <v>43442.688275462962</v>
      </c>
      <c r="B65" s="7" t="str">
        <f>HYPERLINK("https://twitter.com/Maramelies","@Maramelies")</f>
        <v>@Maramelies</v>
      </c>
      <c r="C65" s="8" t="s">
        <v>134</v>
      </c>
      <c r="D65" s="9" t="s">
        <v>135</v>
      </c>
      <c r="E65" s="10" t="str">
        <f>HYPERLINK("https://twitter.com/Maramelies/status/1071426959303995393","1071426959303995393")</f>
        <v>1071426959303995393</v>
      </c>
      <c r="F65" s="11"/>
      <c r="G65" s="12" t="s">
        <v>138</v>
      </c>
      <c r="H65" s="11"/>
      <c r="I65" s="13">
        <v>0</v>
      </c>
      <c r="J65" s="13">
        <v>1</v>
      </c>
      <c r="K65" s="14" t="str">
        <f>HYPERLINK("http://twitter.com/download/android","Twitter for Android")</f>
        <v>Twitter for Android</v>
      </c>
      <c r="L65" s="13">
        <v>603</v>
      </c>
      <c r="M65" s="13">
        <v>916</v>
      </c>
      <c r="N65" s="13">
        <v>7</v>
      </c>
      <c r="O65" s="15"/>
      <c r="P65" s="6">
        <v>40942.834340277775</v>
      </c>
      <c r="Q65" s="18" t="s">
        <v>140</v>
      </c>
      <c r="R65" s="19" t="s">
        <v>141</v>
      </c>
      <c r="S65" s="11"/>
      <c r="T65" s="11"/>
      <c r="U65" s="10" t="str">
        <f>HYPERLINK("https://pbs.twimg.com/profile_images/975647143565430785/xZXSMqpL.jpg","View")</f>
        <v>View</v>
      </c>
    </row>
    <row r="66" spans="1:21" ht="71.400000000000006">
      <c r="A66" s="6">
        <v>43442.688009259262</v>
      </c>
      <c r="B66" s="7" t="str">
        <f>HYPERLINK("https://twitter.com/ewijecuC","@ewijecuC")</f>
        <v>@ewijecuC</v>
      </c>
      <c r="C66" s="8" t="s">
        <v>553</v>
      </c>
      <c r="D66" s="9" t="s">
        <v>387</v>
      </c>
      <c r="E66" s="10" t="str">
        <f>HYPERLINK("https://twitter.com/ewijecuC/status/1071426861832404992","1071426861832404992")</f>
        <v>1071426861832404992</v>
      </c>
      <c r="F66" s="12" t="s">
        <v>554</v>
      </c>
      <c r="G66" s="12" t="s">
        <v>557</v>
      </c>
      <c r="H66" s="11"/>
      <c r="I66" s="13">
        <v>0</v>
      </c>
      <c r="J66" s="13">
        <v>0</v>
      </c>
      <c r="K66" s="14" t="str">
        <f>HYPERLINK("https://dlvrit.com/","dlvr.it")</f>
        <v>dlvr.it</v>
      </c>
      <c r="L66" s="13">
        <v>11</v>
      </c>
      <c r="M66" s="13">
        <v>0</v>
      </c>
      <c r="N66" s="13">
        <v>1</v>
      </c>
      <c r="O66" s="15"/>
      <c r="P66" s="6">
        <v>41861.411817129629</v>
      </c>
      <c r="Q66" s="18" t="s">
        <v>558</v>
      </c>
      <c r="R66" s="19" t="s">
        <v>559</v>
      </c>
      <c r="S66" s="12" t="s">
        <v>561</v>
      </c>
      <c r="T66" s="11"/>
      <c r="U66" s="10" t="str">
        <f>HYPERLINK("https://pbs.twimg.com/profile_images/802529356983783424/af_Cq-Rc.jpg","View")</f>
        <v>View</v>
      </c>
    </row>
    <row r="67" spans="1:21" ht="40.799999999999997">
      <c r="A67" s="6">
        <v>43442.687627314815</v>
      </c>
      <c r="B67" s="7" t="str">
        <f>HYPERLINK("https://twitter.com/carlosaalonso7","@carlosaalonso7")</f>
        <v>@carlosaalonso7</v>
      </c>
      <c r="C67" s="8" t="s">
        <v>564</v>
      </c>
      <c r="D67" s="9" t="s">
        <v>565</v>
      </c>
      <c r="E67" s="10" t="str">
        <f>HYPERLINK("https://twitter.com/carlosaalonso7/status/1071426720757014528","1071426720757014528")</f>
        <v>1071426720757014528</v>
      </c>
      <c r="F67" s="12" t="s">
        <v>567</v>
      </c>
      <c r="G67" s="11"/>
      <c r="H67" s="11"/>
      <c r="I67" s="13">
        <v>0</v>
      </c>
      <c r="J67" s="13">
        <v>0</v>
      </c>
      <c r="K67" s="14" t="str">
        <f>HYPERLINK("http://www.facebook.com/twitter","Facebook")</f>
        <v>Facebook</v>
      </c>
      <c r="L67" s="13">
        <v>266</v>
      </c>
      <c r="M67" s="13">
        <v>645</v>
      </c>
      <c r="N67" s="13">
        <v>0</v>
      </c>
      <c r="O67" s="15"/>
      <c r="P67" s="6">
        <v>41507.070185185185</v>
      </c>
      <c r="Q67" s="11"/>
      <c r="R67" s="17"/>
      <c r="S67" s="11"/>
      <c r="T67" s="11"/>
      <c r="U67" s="10" t="str">
        <f>HYPERLINK("https://pbs.twimg.com/profile_images/378800000639733495/56455d04f9290dbcda8cef40d65effe8.png","View")</f>
        <v>View</v>
      </c>
    </row>
    <row r="68" spans="1:21" ht="30.6">
      <c r="A68" s="6">
        <v>43442.6875</v>
      </c>
      <c r="B68" s="7" t="str">
        <f>HYPERLINK("https://twitter.com/randomsigfrid","@randomsigfrid")</f>
        <v>@randomsigfrid</v>
      </c>
      <c r="C68" s="8" t="s">
        <v>577</v>
      </c>
      <c r="D68" s="9" t="s">
        <v>579</v>
      </c>
      <c r="E68" s="10" t="str">
        <f>HYPERLINK("https://twitter.com/randomsigfrid/status/1071426675429257217","1071426675429257217")</f>
        <v>1071426675429257217</v>
      </c>
      <c r="F68" s="11"/>
      <c r="G68" s="11"/>
      <c r="H68" s="11"/>
      <c r="I68" s="13">
        <v>0</v>
      </c>
      <c r="J68" s="13">
        <v>0</v>
      </c>
      <c r="K68" s="14" t="str">
        <f>HYPERLINK("http://google.es","Sigfrid SorIA")</f>
        <v>Sigfrid SorIA</v>
      </c>
      <c r="L68" s="13">
        <v>85</v>
      </c>
      <c r="M68" s="13">
        <v>0</v>
      </c>
      <c r="N68" s="13">
        <v>10</v>
      </c>
      <c r="O68" s="15"/>
      <c r="P68" s="6">
        <v>42073.939733796295</v>
      </c>
      <c r="Q68" s="18" t="s">
        <v>583</v>
      </c>
      <c r="R68" s="19" t="s">
        <v>584</v>
      </c>
      <c r="S68" s="12" t="s">
        <v>585</v>
      </c>
      <c r="T68" s="11"/>
      <c r="U68" s="10" t="str">
        <f>HYPERLINK("https://pbs.twimg.com/profile_images/578752890505842688/oDj0BXDA.jpeg","View")</f>
        <v>View</v>
      </c>
    </row>
    <row r="69" spans="1:21" ht="30.6">
      <c r="A69" s="6">
        <v>43442.682997685188</v>
      </c>
      <c r="B69" s="7" t="str">
        <f>HYPERLINK("https://twitter.com/Salvador_vet","@Salvador_vet")</f>
        <v>@Salvador_vet</v>
      </c>
      <c r="C69" s="8" t="s">
        <v>144</v>
      </c>
      <c r="D69" s="9" t="s">
        <v>145</v>
      </c>
      <c r="E69" s="10" t="str">
        <f>HYPERLINK("https://twitter.com/Salvador_vet/status/1071425045556269058","1071425045556269058")</f>
        <v>1071425045556269058</v>
      </c>
      <c r="F69" s="12" t="s">
        <v>146</v>
      </c>
      <c r="G69" s="11"/>
      <c r="H69" s="11"/>
      <c r="I69" s="13">
        <v>1</v>
      </c>
      <c r="J69" s="13">
        <v>0</v>
      </c>
      <c r="K69" s="14" t="str">
        <f>HYPERLINK("http://twitter.com/download/iphone","Twitter for iPhone")</f>
        <v>Twitter for iPhone</v>
      </c>
      <c r="L69" s="13">
        <v>1607</v>
      </c>
      <c r="M69" s="13">
        <v>1797</v>
      </c>
      <c r="N69" s="13">
        <v>29</v>
      </c>
      <c r="O69" s="15"/>
      <c r="P69" s="6">
        <v>42396.532488425924</v>
      </c>
      <c r="Q69" s="18" t="s">
        <v>150</v>
      </c>
      <c r="R69" s="19" t="s">
        <v>151</v>
      </c>
      <c r="S69" s="11"/>
      <c r="T69" s="11"/>
      <c r="U69" s="10" t="str">
        <f>HYPERLINK("https://pbs.twimg.com/profile_images/994472126680838144/Qqaadw-m.jpg","View")</f>
        <v>View</v>
      </c>
    </row>
    <row r="70" spans="1:21" ht="13.2">
      <c r="A70" s="6">
        <v>43442.681284722217</v>
      </c>
      <c r="B70" s="7" t="str">
        <f>HYPERLINK("https://twitter.com/DubreyEscobar","@DubreyEscobar")</f>
        <v>@DubreyEscobar</v>
      </c>
      <c r="C70" s="8" t="s">
        <v>594</v>
      </c>
      <c r="D70" s="9" t="s">
        <v>223</v>
      </c>
      <c r="E70" s="10" t="str">
        <f>HYPERLINK("https://twitter.com/DubreyEscobar/status/1071424424023212033","1071424424023212033")</f>
        <v>1071424424023212033</v>
      </c>
      <c r="F70" s="12" t="s">
        <v>596</v>
      </c>
      <c r="G70" s="12" t="s">
        <v>598</v>
      </c>
      <c r="H70" s="11"/>
      <c r="I70" s="13">
        <v>0</v>
      </c>
      <c r="J70" s="13">
        <v>0</v>
      </c>
      <c r="K70" s="14" t="str">
        <f t="shared" ref="K70:K71" si="9">HYPERLINK("https://dlvrit.com/","dlvr.it")</f>
        <v>dlvr.it</v>
      </c>
      <c r="L70" s="13">
        <v>161</v>
      </c>
      <c r="M70" s="13">
        <v>811</v>
      </c>
      <c r="N70" s="13">
        <v>1</v>
      </c>
      <c r="O70" s="15"/>
      <c r="P70" s="6">
        <v>41353.029513888891</v>
      </c>
      <c r="Q70" s="18" t="s">
        <v>601</v>
      </c>
      <c r="R70" s="17"/>
      <c r="S70" s="11"/>
      <c r="T70" s="11"/>
      <c r="U70" s="10" t="str">
        <f>HYPERLINK("https://pbs.twimg.com/profile_images/831698695489990657/SJ0mPSEw.jpg","View")</f>
        <v>View</v>
      </c>
    </row>
    <row r="71" spans="1:21" ht="30.6">
      <c r="A71" s="6">
        <v>43442.681284722217</v>
      </c>
      <c r="B71" s="7" t="str">
        <f>HYPERLINK("https://twitter.com/Masquesaludplu2","@Masquesaludplu2")</f>
        <v>@Masquesaludplu2</v>
      </c>
      <c r="C71" s="8" t="s">
        <v>604</v>
      </c>
      <c r="D71" s="9" t="s">
        <v>223</v>
      </c>
      <c r="E71" s="10" t="str">
        <f>HYPERLINK("https://twitter.com/Masquesaludplu2/status/1071424422580387840","1071424422580387840")</f>
        <v>1071424422580387840</v>
      </c>
      <c r="F71" s="12" t="s">
        <v>596</v>
      </c>
      <c r="G71" s="12" t="s">
        <v>608</v>
      </c>
      <c r="H71" s="11"/>
      <c r="I71" s="13">
        <v>0</v>
      </c>
      <c r="J71" s="13">
        <v>0</v>
      </c>
      <c r="K71" s="14" t="str">
        <f t="shared" si="9"/>
        <v>dlvr.it</v>
      </c>
      <c r="L71" s="13">
        <v>87</v>
      </c>
      <c r="M71" s="13">
        <v>506</v>
      </c>
      <c r="N71" s="13">
        <v>0</v>
      </c>
      <c r="O71" s="15"/>
      <c r="P71" s="6">
        <v>42977.81832175926</v>
      </c>
      <c r="Q71" s="11"/>
      <c r="R71" s="19" t="s">
        <v>609</v>
      </c>
      <c r="S71" s="11"/>
      <c r="T71" s="11"/>
      <c r="U71" s="10" t="str">
        <f>HYPERLINK("https://pbs.twimg.com/profile_images/903599365796790272/9WoRA3SW.jpg","View")</f>
        <v>View</v>
      </c>
    </row>
    <row r="72" spans="1:21" ht="13.2">
      <c r="A72" s="6">
        <v>43442.678842592592</v>
      </c>
      <c r="B72" s="7" t="str">
        <f>HYPERLINK("https://twitter.com/zorreira1963","@zorreira1963")</f>
        <v>@zorreira1963</v>
      </c>
      <c r="C72" s="8" t="s">
        <v>611</v>
      </c>
      <c r="D72" s="9" t="s">
        <v>612</v>
      </c>
      <c r="E72" s="10" t="str">
        <f>HYPERLINK("https://twitter.com/zorreira1963/status/1071423540648427520","1071423540648427520")</f>
        <v>1071423540648427520</v>
      </c>
      <c r="F72" s="12" t="s">
        <v>49</v>
      </c>
      <c r="G72" s="11"/>
      <c r="H72" s="11"/>
      <c r="I72" s="13">
        <v>0</v>
      </c>
      <c r="J72" s="13">
        <v>0</v>
      </c>
      <c r="K72" s="14" t="str">
        <f t="shared" ref="K72:K75" si="10">HYPERLINK("http://twitter.com/download/android","Twitter for Android")</f>
        <v>Twitter for Android</v>
      </c>
      <c r="L72" s="13">
        <v>168</v>
      </c>
      <c r="M72" s="13">
        <v>371</v>
      </c>
      <c r="N72" s="13">
        <v>4</v>
      </c>
      <c r="O72" s="15"/>
      <c r="P72" s="6">
        <v>42123.015138888892</v>
      </c>
      <c r="Q72" s="18" t="s">
        <v>454</v>
      </c>
      <c r="R72" s="19" t="s">
        <v>618</v>
      </c>
      <c r="S72" s="11"/>
      <c r="T72" s="11"/>
      <c r="U72" s="10" t="str">
        <f>HYPERLINK("https://pbs.twimg.com/profile_images/702581392945897473/_lGtJ5Cp.jpg","View")</f>
        <v>View</v>
      </c>
    </row>
    <row r="73" spans="1:21" ht="20.399999999999999">
      <c r="A73" s="6">
        <v>43442.678506944445</v>
      </c>
      <c r="B73" s="7" t="str">
        <f>HYPERLINK("https://twitter.com/josecalvogomez","@josecalvogomez")</f>
        <v>@josecalvogomez</v>
      </c>
      <c r="C73" s="8" t="s">
        <v>621</v>
      </c>
      <c r="D73" s="9" t="s">
        <v>285</v>
      </c>
      <c r="E73" s="10" t="str">
        <f>HYPERLINK("https://twitter.com/josecalvogomez/status/1071423416270499841","1071423416270499841")</f>
        <v>1071423416270499841</v>
      </c>
      <c r="F73" s="12" t="s">
        <v>290</v>
      </c>
      <c r="G73" s="11"/>
      <c r="H73" s="11"/>
      <c r="I73" s="13">
        <v>0</v>
      </c>
      <c r="J73" s="13">
        <v>0</v>
      </c>
      <c r="K73" s="14" t="str">
        <f t="shared" si="10"/>
        <v>Twitter for Android</v>
      </c>
      <c r="L73" s="13">
        <v>4140</v>
      </c>
      <c r="M73" s="13">
        <v>5002</v>
      </c>
      <c r="N73" s="13">
        <v>25</v>
      </c>
      <c r="O73" s="15"/>
      <c r="P73" s="6">
        <v>41325.995289351849</v>
      </c>
      <c r="Q73" s="11"/>
      <c r="R73" s="17"/>
      <c r="S73" s="11"/>
      <c r="T73" s="11"/>
      <c r="U73" s="10" t="str">
        <f>HYPERLINK("https://pbs.twimg.com/profile_images/641263832598454272/RFaw01FM.jpg","View")</f>
        <v>View</v>
      </c>
    </row>
    <row r="74" spans="1:21" ht="40.799999999999997">
      <c r="A74" s="6">
        <v>43442.678356481483</v>
      </c>
      <c r="B74" s="7" t="str">
        <f>HYPERLINK("https://twitter.com/vPistonSv","@vPistonSv")</f>
        <v>@vPistonSv</v>
      </c>
      <c r="C74" s="8" t="s">
        <v>628</v>
      </c>
      <c r="D74" s="9" t="s">
        <v>629</v>
      </c>
      <c r="E74" s="10" t="str">
        <f>HYPERLINK("https://twitter.com/vPistonSv/status/1071423363791372288","1071423363791372288")</f>
        <v>1071423363791372288</v>
      </c>
      <c r="F74" s="12" t="s">
        <v>631</v>
      </c>
      <c r="G74" s="11"/>
      <c r="H74" s="11"/>
      <c r="I74" s="13">
        <v>0</v>
      </c>
      <c r="J74" s="13">
        <v>0</v>
      </c>
      <c r="K74" s="14" t="str">
        <f t="shared" si="10"/>
        <v>Twitter for Android</v>
      </c>
      <c r="L74" s="13">
        <v>76</v>
      </c>
      <c r="M74" s="13">
        <v>217</v>
      </c>
      <c r="N74" s="13">
        <v>6</v>
      </c>
      <c r="O74" s="15"/>
      <c r="P74" s="6">
        <v>40742.56890046296</v>
      </c>
      <c r="Q74" s="18" t="s">
        <v>633</v>
      </c>
      <c r="R74" s="19" t="s">
        <v>634</v>
      </c>
      <c r="S74" s="11"/>
      <c r="T74" s="11"/>
      <c r="U74" s="10" t="str">
        <f>HYPERLINK("https://pbs.twimg.com/profile_images/1002267912282034176/pechDNds.jpg","View")</f>
        <v>View</v>
      </c>
    </row>
    <row r="75" spans="1:21" ht="13.2">
      <c r="A75" s="6">
        <v>43442.677939814814</v>
      </c>
      <c r="B75" s="7" t="str">
        <f>HYPERLINK("https://twitter.com/M_AguilarBordas","@M_AguilarBordas")</f>
        <v>@M_AguilarBordas</v>
      </c>
      <c r="C75" s="8" t="s">
        <v>635</v>
      </c>
      <c r="D75" s="9" t="s">
        <v>612</v>
      </c>
      <c r="E75" s="10" t="str">
        <f>HYPERLINK("https://twitter.com/M_AguilarBordas/status/1071423212783833089","1071423212783833089")</f>
        <v>1071423212783833089</v>
      </c>
      <c r="F75" s="12" t="s">
        <v>49</v>
      </c>
      <c r="G75" s="11"/>
      <c r="H75" s="11"/>
      <c r="I75" s="13">
        <v>0</v>
      </c>
      <c r="J75" s="13">
        <v>0</v>
      </c>
      <c r="K75" s="14" t="str">
        <f t="shared" si="10"/>
        <v>Twitter for Android</v>
      </c>
      <c r="L75" s="13">
        <v>995</v>
      </c>
      <c r="M75" s="13">
        <v>1262</v>
      </c>
      <c r="N75" s="13">
        <v>24</v>
      </c>
      <c r="O75" s="15"/>
      <c r="P75" s="6">
        <v>40386.775057870371</v>
      </c>
      <c r="Q75" s="11"/>
      <c r="R75" s="17"/>
      <c r="S75" s="11"/>
      <c r="T75" s="11"/>
      <c r="U75" s="10" t="str">
        <f>HYPERLINK("https://pbs.twimg.com/profile_images/1048097238034079744/1kPZYdqG.jpg","View")</f>
        <v>View</v>
      </c>
    </row>
    <row r="76" spans="1:21" ht="13.2">
      <c r="A76" s="6">
        <v>43442.677129629628</v>
      </c>
      <c r="B76" s="7" t="str">
        <f>HYPERLINK("https://twitter.com/santi2892009","@santi2892009")</f>
        <v>@santi2892009</v>
      </c>
      <c r="C76" s="8" t="s">
        <v>639</v>
      </c>
      <c r="D76" s="9" t="s">
        <v>223</v>
      </c>
      <c r="E76" s="10" t="str">
        <f>HYPERLINK("https://twitter.com/santi2892009/status/1071422919530541056","1071422919530541056")</f>
        <v>1071422919530541056</v>
      </c>
      <c r="F76" s="12" t="s">
        <v>596</v>
      </c>
      <c r="G76" s="12" t="s">
        <v>643</v>
      </c>
      <c r="H76" s="11"/>
      <c r="I76" s="13">
        <v>0</v>
      </c>
      <c r="J76" s="13">
        <v>0</v>
      </c>
      <c r="K76" s="14" t="str">
        <f>HYPERLINK("https://dlvrit.com/","dlvr.it")</f>
        <v>dlvr.it</v>
      </c>
      <c r="L76" s="13">
        <v>29</v>
      </c>
      <c r="M76" s="13">
        <v>230</v>
      </c>
      <c r="N76" s="13">
        <v>0</v>
      </c>
      <c r="O76" s="15"/>
      <c r="P76" s="6">
        <v>42891.867534722223</v>
      </c>
      <c r="Q76" s="11"/>
      <c r="R76" s="17"/>
      <c r="S76" s="11"/>
      <c r="T76" s="11"/>
      <c r="U76" s="10" t="str">
        <f>HYPERLINK("https://pbs.twimg.com/profile_images/871964198842060800/umKdbVgl.jpg","View")</f>
        <v>View</v>
      </c>
    </row>
    <row r="77" spans="1:21" ht="20.399999999999999">
      <c r="A77" s="6">
        <v>43442.676979166667</v>
      </c>
      <c r="B77" s="7" t="str">
        <f>HYPERLINK("https://twitter.com/bailarndevogue1","@bailarndevogue1")</f>
        <v>@bailarndevogue1</v>
      </c>
      <c r="C77" s="8" t="s">
        <v>648</v>
      </c>
      <c r="D77" s="9" t="s">
        <v>649</v>
      </c>
      <c r="E77" s="10" t="str">
        <f>HYPERLINK("https://twitter.com/bailarndevogue1/status/1071422862123261952","1071422862123261952")</f>
        <v>1071422862123261952</v>
      </c>
      <c r="F77" s="11"/>
      <c r="G77" s="12" t="s">
        <v>651</v>
      </c>
      <c r="H77" s="11"/>
      <c r="I77" s="13">
        <v>0</v>
      </c>
      <c r="J77" s="13">
        <v>0</v>
      </c>
      <c r="K77" s="14" t="str">
        <f>HYPERLINK("http://twitter.com/download/android","Twitter for Android")</f>
        <v>Twitter for Android</v>
      </c>
      <c r="L77" s="13">
        <v>15</v>
      </c>
      <c r="M77" s="13">
        <v>302</v>
      </c>
      <c r="N77" s="13">
        <v>0</v>
      </c>
      <c r="O77" s="15"/>
      <c r="P77" s="6">
        <v>43160.744664351849</v>
      </c>
      <c r="Q77" s="18" t="s">
        <v>657</v>
      </c>
      <c r="R77" s="19" t="s">
        <v>658</v>
      </c>
      <c r="S77" s="11"/>
      <c r="T77" s="11"/>
      <c r="U77" s="10" t="str">
        <f>HYPERLINK("https://pbs.twimg.com/profile_images/973133886107672576/p8sbTv_g.jpg","View")</f>
        <v>View</v>
      </c>
    </row>
    <row r="78" spans="1:21" ht="40.799999999999997">
      <c r="A78" s="6">
        <v>43442.67288194444</v>
      </c>
      <c r="B78" s="7" t="str">
        <f>HYPERLINK("https://twitter.com/condeblanco","@condeblanco")</f>
        <v>@condeblanco</v>
      </c>
      <c r="C78" s="8" t="s">
        <v>663</v>
      </c>
      <c r="D78" s="9" t="s">
        <v>664</v>
      </c>
      <c r="E78" s="10" t="str">
        <f>HYPERLINK("https://twitter.com/condeblanco/status/1071421379000573952","1071421379000573952")</f>
        <v>1071421379000573952</v>
      </c>
      <c r="F78" s="12" t="s">
        <v>668</v>
      </c>
      <c r="G78" s="11"/>
      <c r="H78" s="11"/>
      <c r="I78" s="13">
        <v>0</v>
      </c>
      <c r="J78" s="13">
        <v>0</v>
      </c>
      <c r="K78" s="14" t="str">
        <f>HYPERLINK("http://www.facebook.com/twitter","Facebook")</f>
        <v>Facebook</v>
      </c>
      <c r="L78" s="13">
        <v>86</v>
      </c>
      <c r="M78" s="13">
        <v>619</v>
      </c>
      <c r="N78" s="13">
        <v>0</v>
      </c>
      <c r="O78" s="15"/>
      <c r="P78" s="6">
        <v>40324.846701388888</v>
      </c>
      <c r="Q78" s="18" t="s">
        <v>672</v>
      </c>
      <c r="R78" s="19" t="s">
        <v>673</v>
      </c>
      <c r="S78" s="11"/>
      <c r="T78" s="11"/>
      <c r="U78" s="10" t="str">
        <f>HYPERLINK("https://pbs.twimg.com/profile_images/1521932270/Imagem_033.jpg","View")</f>
        <v>View</v>
      </c>
    </row>
    <row r="79" spans="1:21" ht="40.799999999999997">
      <c r="A79" s="6">
        <v>43442.672500000001</v>
      </c>
      <c r="B79" s="7" t="str">
        <f>HYPERLINK("https://twitter.com/AdeSiracusa","@AdeSiracusa")</f>
        <v>@AdeSiracusa</v>
      </c>
      <c r="C79" s="8" t="s">
        <v>682</v>
      </c>
      <c r="D79" s="9" t="s">
        <v>683</v>
      </c>
      <c r="E79" s="10" t="str">
        <f>HYPERLINK("https://twitter.com/AdeSiracusa/status/1071421241964331008","1071421241964331008")</f>
        <v>1071421241964331008</v>
      </c>
      <c r="F79" s="12" t="s">
        <v>687</v>
      </c>
      <c r="G79" s="11"/>
      <c r="H79" s="11"/>
      <c r="I79" s="13">
        <v>0</v>
      </c>
      <c r="J79" s="13">
        <v>0</v>
      </c>
      <c r="K79" s="14" t="str">
        <f>HYPERLINK("http://www.republicosvenezuela.com/","AdeSiracusa")</f>
        <v>AdeSiracusa</v>
      </c>
      <c r="L79" s="13">
        <v>4091</v>
      </c>
      <c r="M79" s="13">
        <v>4122</v>
      </c>
      <c r="N79" s="13">
        <v>12</v>
      </c>
      <c r="O79" s="15"/>
      <c r="P79" s="6">
        <v>42958.576388888891</v>
      </c>
      <c r="Q79" s="18" t="s">
        <v>689</v>
      </c>
      <c r="R79" s="19" t="s">
        <v>690</v>
      </c>
      <c r="S79" s="11"/>
      <c r="T79" s="11"/>
      <c r="U79" s="10" t="str">
        <f>HYPERLINK("https://pbs.twimg.com/profile_images/895978354591105024/x2wNXrPl.jpg","View")</f>
        <v>View</v>
      </c>
    </row>
    <row r="80" spans="1:21" ht="20.399999999999999">
      <c r="A80" s="6">
        <v>43442.672407407408</v>
      </c>
      <c r="B80" s="7" t="str">
        <f>HYPERLINK("https://twitter.com/CAMARALHOMBRO2","@CAMARALHOMBRO2")</f>
        <v>@CAMARALHOMBRO2</v>
      </c>
      <c r="C80" s="8" t="s">
        <v>693</v>
      </c>
      <c r="D80" s="9" t="s">
        <v>694</v>
      </c>
      <c r="E80" s="10" t="str">
        <f>HYPERLINK("https://twitter.com/CAMARALHOMBRO2/status/1071421208665694211","1071421208665694211")</f>
        <v>1071421208665694211</v>
      </c>
      <c r="F80" s="12" t="s">
        <v>697</v>
      </c>
      <c r="G80" s="11"/>
      <c r="H80" s="11"/>
      <c r="I80" s="13">
        <v>0</v>
      </c>
      <c r="J80" s="13">
        <v>0</v>
      </c>
      <c r="K80" s="14" t="str">
        <f>HYPERLINK("http://twitter.com","Twitter Web Client")</f>
        <v>Twitter Web Client</v>
      </c>
      <c r="L80" s="13">
        <v>5</v>
      </c>
      <c r="M80" s="13">
        <v>46</v>
      </c>
      <c r="N80" s="13">
        <v>0</v>
      </c>
      <c r="O80" s="15"/>
      <c r="P80" s="6">
        <v>42959.741284722222</v>
      </c>
      <c r="Q80" s="18" t="s">
        <v>700</v>
      </c>
      <c r="R80" s="19" t="s">
        <v>701</v>
      </c>
      <c r="S80" s="11"/>
      <c r="T80" s="11"/>
      <c r="U80" s="10" t="str">
        <f>HYPERLINK("https://pbs.twimg.com/profile_images/961947978054463491/k2TEMgQQ.jpg","View")</f>
        <v>View</v>
      </c>
    </row>
    <row r="81" spans="1:21" ht="40.799999999999997">
      <c r="A81" s="6">
        <v>43442.670034722221</v>
      </c>
      <c r="B81" s="7" t="str">
        <f>HYPERLINK("https://twitter.com/albeguren","@albeguren")</f>
        <v>@albeguren</v>
      </c>
      <c r="C81" s="8" t="s">
        <v>705</v>
      </c>
      <c r="D81" s="9" t="s">
        <v>706</v>
      </c>
      <c r="E81" s="10" t="str">
        <f>HYPERLINK("https://twitter.com/albeguren/status/1071420346262282241","1071420346262282241")</f>
        <v>1071420346262282241</v>
      </c>
      <c r="F81" s="12" t="s">
        <v>707</v>
      </c>
      <c r="G81" s="11"/>
      <c r="H81" s="11"/>
      <c r="I81" s="13">
        <v>0</v>
      </c>
      <c r="J81" s="13">
        <v>0</v>
      </c>
      <c r="K81" s="14" t="str">
        <f>HYPERLINK("http://twitter.com/download/android","Twitter for Android")</f>
        <v>Twitter for Android</v>
      </c>
      <c r="L81" s="13">
        <v>8158</v>
      </c>
      <c r="M81" s="13">
        <v>7888</v>
      </c>
      <c r="N81" s="13">
        <v>51</v>
      </c>
      <c r="O81" s="15"/>
      <c r="P81" s="6">
        <v>40599.740636574075</v>
      </c>
      <c r="Q81" s="18" t="s">
        <v>711</v>
      </c>
      <c r="R81" s="19" t="s">
        <v>714</v>
      </c>
      <c r="S81" s="11"/>
      <c r="T81" s="11"/>
      <c r="U81" s="10" t="str">
        <f>HYPERLINK("https://pbs.twimg.com/profile_images/1069156004997152768/kNjpcFml.jpg","View")</f>
        <v>View</v>
      </c>
    </row>
    <row r="82" spans="1:21" ht="13.2">
      <c r="A82" s="6">
        <v>43442.669895833329</v>
      </c>
      <c r="B82" s="7" t="str">
        <f>HYPERLINK("https://twitter.com/MARKELS24","@MARKELS24")</f>
        <v>@MARKELS24</v>
      </c>
      <c r="C82" s="8" t="s">
        <v>717</v>
      </c>
      <c r="D82" s="9" t="s">
        <v>223</v>
      </c>
      <c r="E82" s="10" t="str">
        <f>HYPERLINK("https://twitter.com/MARKELS24/status/1071420297297809408","1071420297297809408")</f>
        <v>1071420297297809408</v>
      </c>
      <c r="F82" s="12" t="s">
        <v>720</v>
      </c>
      <c r="G82" s="12" t="s">
        <v>721</v>
      </c>
      <c r="H82" s="11"/>
      <c r="I82" s="13">
        <v>0</v>
      </c>
      <c r="J82" s="13">
        <v>0</v>
      </c>
      <c r="K82" s="14" t="str">
        <f>HYPERLINK("https://dlvrit.com/","dlvr.it")</f>
        <v>dlvr.it</v>
      </c>
      <c r="L82" s="13">
        <v>30</v>
      </c>
      <c r="M82" s="13">
        <v>58</v>
      </c>
      <c r="N82" s="13">
        <v>0</v>
      </c>
      <c r="O82" s="15"/>
      <c r="P82" s="6">
        <v>42477.820416666669</v>
      </c>
      <c r="Q82" s="18" t="s">
        <v>726</v>
      </c>
      <c r="R82" s="19" t="s">
        <v>727</v>
      </c>
      <c r="S82" s="11"/>
      <c r="T82" s="11"/>
      <c r="U82" s="10" t="str">
        <f>HYPERLINK("https://pbs.twimg.com/profile_images/839506122843308032/oj1_HVU7.jpg","View")</f>
        <v>View</v>
      </c>
    </row>
    <row r="83" spans="1:21" ht="20.399999999999999">
      <c r="A83" s="6">
        <v>43442.668298611112</v>
      </c>
      <c r="B83" s="7" t="str">
        <f>HYPERLINK("https://twitter.com/Jacobo7elbobo","@Jacobo7elbobo")</f>
        <v>@Jacobo7elbobo</v>
      </c>
      <c r="C83" s="8" t="s">
        <v>147</v>
      </c>
      <c r="D83" s="9" t="s">
        <v>84</v>
      </c>
      <c r="E83" s="10" t="str">
        <f>HYPERLINK("https://twitter.com/Jacobo7elbobo/status/1071419716978249728","1071419716978249728")</f>
        <v>1071419716978249728</v>
      </c>
      <c r="F83" s="12" t="s">
        <v>86</v>
      </c>
      <c r="G83" s="11"/>
      <c r="H83" s="11"/>
      <c r="I83" s="13">
        <v>4</v>
      </c>
      <c r="J83" s="13">
        <v>2</v>
      </c>
      <c r="K83" s="14" t="str">
        <f t="shared" ref="K83:K84" si="11">HYPERLINK("http://twitter.com","Twitter Web Client")</f>
        <v>Twitter Web Client</v>
      </c>
      <c r="L83" s="13">
        <v>5561</v>
      </c>
      <c r="M83" s="13">
        <v>5286</v>
      </c>
      <c r="N83" s="13">
        <v>8</v>
      </c>
      <c r="O83" s="15"/>
      <c r="P83" s="6">
        <v>42315.993460648147</v>
      </c>
      <c r="Q83" s="18" t="s">
        <v>152</v>
      </c>
      <c r="R83" s="19" t="s">
        <v>153</v>
      </c>
      <c r="S83" s="11"/>
      <c r="T83" s="11"/>
      <c r="U83" s="10" t="str">
        <f>HYPERLINK("https://pbs.twimg.com/profile_images/972809079289675776/alLBdem6.jpg","View")</f>
        <v>View</v>
      </c>
    </row>
    <row r="84" spans="1:21" ht="91.8">
      <c r="A84" s="6">
        <v>43442.667743055557</v>
      </c>
      <c r="B84" s="7" t="str">
        <f>HYPERLINK("https://twitter.com/Baco1963","@Baco1963")</f>
        <v>@Baco1963</v>
      </c>
      <c r="C84" s="8" t="s">
        <v>731</v>
      </c>
      <c r="D84" s="9" t="s">
        <v>733</v>
      </c>
      <c r="E84" s="10" t="str">
        <f>HYPERLINK("https://twitter.com/Baco1963/status/1071419518851919872","1071419518851919872")</f>
        <v>1071419518851919872</v>
      </c>
      <c r="F84" s="12" t="s">
        <v>734</v>
      </c>
      <c r="G84" s="12" t="s">
        <v>735</v>
      </c>
      <c r="H84" s="11"/>
      <c r="I84" s="13">
        <v>0</v>
      </c>
      <c r="J84" s="13">
        <v>0</v>
      </c>
      <c r="K84" s="14" t="str">
        <f t="shared" si="11"/>
        <v>Twitter Web Client</v>
      </c>
      <c r="L84" s="13">
        <v>4539</v>
      </c>
      <c r="M84" s="13">
        <v>4765</v>
      </c>
      <c r="N84" s="13">
        <v>30</v>
      </c>
      <c r="O84" s="15"/>
      <c r="P84" s="6">
        <v>40113.685277777782</v>
      </c>
      <c r="Q84" s="18" t="s">
        <v>736</v>
      </c>
      <c r="R84" s="19" t="s">
        <v>737</v>
      </c>
      <c r="S84" s="11"/>
      <c r="T84" s="11"/>
      <c r="U84" s="10" t="str">
        <f>HYPERLINK("https://pbs.twimg.com/profile_images/960224993157271555/uwnbZWj0.jpg","View")</f>
        <v>View</v>
      </c>
    </row>
    <row r="85" spans="1:21" ht="20.399999999999999">
      <c r="A85" s="6">
        <v>43442.666435185187</v>
      </c>
      <c r="B85" s="7" t="str">
        <f>HYPERLINK("https://twitter.com/polilla1949","@polilla1949")</f>
        <v>@polilla1949</v>
      </c>
      <c r="C85" s="8" t="s">
        <v>742</v>
      </c>
      <c r="D85" s="9" t="s">
        <v>743</v>
      </c>
      <c r="E85" s="10" t="str">
        <f>HYPERLINK("https://twitter.com/polilla1949/status/1071419040978022403","1071419040978022403")</f>
        <v>1071419040978022403</v>
      </c>
      <c r="F85" s="12" t="s">
        <v>280</v>
      </c>
      <c r="G85" s="11"/>
      <c r="H85" s="11"/>
      <c r="I85" s="13">
        <v>0</v>
      </c>
      <c r="J85" s="13">
        <v>0</v>
      </c>
      <c r="K85" s="14" t="str">
        <f>HYPERLINK("http://twitter.com/#!/download/ipad","Twitter for iPad")</f>
        <v>Twitter for iPad</v>
      </c>
      <c r="L85" s="13">
        <v>5174</v>
      </c>
      <c r="M85" s="13">
        <v>4748</v>
      </c>
      <c r="N85" s="13">
        <v>0</v>
      </c>
      <c r="O85" s="15"/>
      <c r="P85" s="6">
        <v>41503.906284722223</v>
      </c>
      <c r="Q85" s="18" t="s">
        <v>42</v>
      </c>
      <c r="R85" s="19" t="s">
        <v>746</v>
      </c>
      <c r="S85" s="11"/>
      <c r="T85" s="11"/>
      <c r="U85" s="10" t="str">
        <f>HYPERLINK("https://pbs.twimg.com/profile_images/940293100949270528/Koo_yb7L.jpg","View")</f>
        <v>View</v>
      </c>
    </row>
    <row r="86" spans="1:21" ht="30.6">
      <c r="A86" s="6">
        <v>43442.665648148148</v>
      </c>
      <c r="B86" s="7" t="str">
        <f>HYPERLINK("https://twitter.com/Ibonrodriguez","@Ibonrodriguez")</f>
        <v>@Ibonrodriguez</v>
      </c>
      <c r="C86" s="8" t="s">
        <v>749</v>
      </c>
      <c r="D86" s="9" t="s">
        <v>750</v>
      </c>
      <c r="E86" s="10" t="str">
        <f>HYPERLINK("https://twitter.com/Ibonrodriguez/status/1071418757082423298","1071418757082423298")</f>
        <v>1071418757082423298</v>
      </c>
      <c r="F86" s="12" t="s">
        <v>754</v>
      </c>
      <c r="G86" s="11"/>
      <c r="H86" s="11"/>
      <c r="I86" s="13">
        <v>0</v>
      </c>
      <c r="J86" s="13">
        <v>0</v>
      </c>
      <c r="K86" s="14" t="str">
        <f>HYPERLINK("http://www.facebook.com/twitter","Facebook")</f>
        <v>Facebook</v>
      </c>
      <c r="L86" s="13">
        <v>631</v>
      </c>
      <c r="M86" s="13">
        <v>1142</v>
      </c>
      <c r="N86" s="13">
        <v>26</v>
      </c>
      <c r="O86" s="15"/>
      <c r="P86" s="6">
        <v>40337.670277777775</v>
      </c>
      <c r="Q86" s="18" t="s">
        <v>757</v>
      </c>
      <c r="R86" s="19" t="s">
        <v>758</v>
      </c>
      <c r="S86" s="12" t="s">
        <v>759</v>
      </c>
      <c r="T86" s="11"/>
      <c r="U86" s="10" t="str">
        <f>HYPERLINK("https://pbs.twimg.com/profile_images/665967209362153475/DJHzKlMG.jpg","View")</f>
        <v>View</v>
      </c>
    </row>
    <row r="87" spans="1:21" ht="20.399999999999999">
      <c r="A87" s="6">
        <v>43442.664548611108</v>
      </c>
      <c r="B87" s="7" t="str">
        <f>HYPERLINK("https://twitter.com/verolozman66","@verolozman66")</f>
        <v>@verolozman66</v>
      </c>
      <c r="C87" s="8" t="s">
        <v>154</v>
      </c>
      <c r="D87" s="9" t="s">
        <v>155</v>
      </c>
      <c r="E87" s="10" t="str">
        <f>HYPERLINK("https://twitter.com/verolozman66/status/1071418360787812352","1071418360787812352")</f>
        <v>1071418360787812352</v>
      </c>
      <c r="F87" s="18" t="s">
        <v>158</v>
      </c>
      <c r="G87" s="11"/>
      <c r="H87" s="11"/>
      <c r="I87" s="13">
        <v>0</v>
      </c>
      <c r="J87" s="13">
        <v>0</v>
      </c>
      <c r="K87" s="14" t="str">
        <f t="shared" ref="K87:K89" si="12">HYPERLINK("http://twitter.com/download/android","Twitter for Android")</f>
        <v>Twitter for Android</v>
      </c>
      <c r="L87" s="13">
        <v>736</v>
      </c>
      <c r="M87" s="13">
        <v>648</v>
      </c>
      <c r="N87" s="13">
        <v>62</v>
      </c>
      <c r="O87" s="15"/>
      <c r="P87" s="6">
        <v>42345.069062499999</v>
      </c>
      <c r="Q87" s="11"/>
      <c r="R87" s="19" t="s">
        <v>159</v>
      </c>
      <c r="S87" s="11"/>
      <c r="T87" s="11"/>
      <c r="U87" s="10" t="str">
        <f>HYPERLINK("https://pbs.twimg.com/profile_images/963758501209300993/aVfqUi73.jpg","View")</f>
        <v>View</v>
      </c>
    </row>
    <row r="88" spans="1:21" ht="40.799999999999997">
      <c r="A88" s="6">
        <v>43442.664189814815</v>
      </c>
      <c r="B88" s="7" t="str">
        <f>HYPERLINK("https://twitter.com/Daniel2286VAL","@Daniel2286VAL")</f>
        <v>@Daniel2286VAL</v>
      </c>
      <c r="C88" s="8" t="s">
        <v>768</v>
      </c>
      <c r="D88" s="9" t="s">
        <v>769</v>
      </c>
      <c r="E88" s="10" t="str">
        <f>HYPERLINK("https://twitter.com/Daniel2286VAL/status/1071418228331737095","1071418228331737095")</f>
        <v>1071418228331737095</v>
      </c>
      <c r="F88" s="12" t="s">
        <v>86</v>
      </c>
      <c r="G88" s="12" t="s">
        <v>771</v>
      </c>
      <c r="H88" s="11"/>
      <c r="I88" s="13">
        <v>1</v>
      </c>
      <c r="J88" s="13">
        <v>1</v>
      </c>
      <c r="K88" s="14" t="str">
        <f t="shared" si="12"/>
        <v>Twitter for Android</v>
      </c>
      <c r="L88" s="13">
        <v>1125</v>
      </c>
      <c r="M88" s="13">
        <v>1051</v>
      </c>
      <c r="N88" s="13">
        <v>5</v>
      </c>
      <c r="O88" s="15"/>
      <c r="P88" s="6">
        <v>43182.681550925925</v>
      </c>
      <c r="Q88" s="18" t="s">
        <v>773</v>
      </c>
      <c r="R88" s="19" t="s">
        <v>774</v>
      </c>
      <c r="S88" s="11"/>
      <c r="T88" s="11"/>
      <c r="U88" s="10" t="str">
        <f>HYPERLINK("https://pbs.twimg.com/profile_images/1050887908792655874/UREU1RPS.jpg","View")</f>
        <v>View</v>
      </c>
    </row>
    <row r="89" spans="1:21" ht="71.400000000000006">
      <c r="A89" s="6">
        <v>43442.664004629631</v>
      </c>
      <c r="B89" s="7" t="str">
        <f>HYPERLINK("https://twitter.com/accaro77","@accaro77")</f>
        <v>@accaro77</v>
      </c>
      <c r="C89" s="8" t="s">
        <v>160</v>
      </c>
      <c r="D89" s="9" t="s">
        <v>161</v>
      </c>
      <c r="E89" s="10" t="str">
        <f>HYPERLINK("https://twitter.com/accaro77/status/1071418162875387905","1071418162875387905")</f>
        <v>1071418162875387905</v>
      </c>
      <c r="F89" s="18" t="s">
        <v>164</v>
      </c>
      <c r="G89" s="12" t="s">
        <v>165</v>
      </c>
      <c r="H89" s="11"/>
      <c r="I89" s="13">
        <v>1</v>
      </c>
      <c r="J89" s="13">
        <v>1</v>
      </c>
      <c r="K89" s="14" t="str">
        <f t="shared" si="12"/>
        <v>Twitter for Android</v>
      </c>
      <c r="L89" s="13">
        <v>271</v>
      </c>
      <c r="M89" s="13">
        <v>388</v>
      </c>
      <c r="N89" s="13">
        <v>9</v>
      </c>
      <c r="O89" s="15"/>
      <c r="P89" s="6">
        <v>41756.343680555554</v>
      </c>
      <c r="Q89" s="11"/>
      <c r="R89" s="19" t="s">
        <v>167</v>
      </c>
      <c r="S89" s="11"/>
      <c r="T89" s="11"/>
      <c r="U89" s="10" t="str">
        <f>HYPERLINK("https://pbs.twimg.com/profile_images/1068528701321736192/m3UPddx7.jpg","View")</f>
        <v>View</v>
      </c>
    </row>
    <row r="90" spans="1:21" ht="40.799999999999997">
      <c r="A90" s="6">
        <v>43442.663263888884</v>
      </c>
      <c r="B90" s="7" t="str">
        <f>HYPERLINK("https://twitter.com/BonavistaCF","@BonavistaCF")</f>
        <v>@BonavistaCF</v>
      </c>
      <c r="C90" s="8" t="s">
        <v>779</v>
      </c>
      <c r="D90" s="9" t="s">
        <v>780</v>
      </c>
      <c r="E90" s="10" t="str">
        <f>HYPERLINK("https://twitter.com/BonavistaCF/status/1071417893676613632","1071417893676613632")</f>
        <v>1071417893676613632</v>
      </c>
      <c r="F90" s="11"/>
      <c r="G90" s="12" t="s">
        <v>783</v>
      </c>
      <c r="H90" s="11"/>
      <c r="I90" s="13">
        <v>0</v>
      </c>
      <c r="J90" s="13">
        <v>0</v>
      </c>
      <c r="K90" s="14" t="str">
        <f>HYPERLINK("http://twitter.com/download/iphone","Twitter for iPhone")</f>
        <v>Twitter for iPhone</v>
      </c>
      <c r="L90" s="13">
        <v>1969</v>
      </c>
      <c r="M90" s="13">
        <v>745</v>
      </c>
      <c r="N90" s="13">
        <v>18</v>
      </c>
      <c r="O90" s="15"/>
      <c r="P90" s="6">
        <v>41152.788912037038</v>
      </c>
      <c r="Q90" s="18" t="s">
        <v>785</v>
      </c>
      <c r="R90" s="19" t="s">
        <v>787</v>
      </c>
      <c r="S90" s="12" t="s">
        <v>788</v>
      </c>
      <c r="T90" s="11"/>
      <c r="U90" s="10" t="str">
        <f>HYPERLINK("https://pbs.twimg.com/profile_images/1053984561460379648/ue2iMyGa.jpg","View")</f>
        <v>View</v>
      </c>
    </row>
    <row r="91" spans="1:21" ht="30.6">
      <c r="A91" s="6">
        <v>43442.663032407407</v>
      </c>
      <c r="B91" s="7" t="str">
        <f>HYPERLINK("https://twitter.com/VzlaAmaElFutbol","@VzlaAmaElFutbol")</f>
        <v>@VzlaAmaElFutbol</v>
      </c>
      <c r="C91" s="8" t="s">
        <v>792</v>
      </c>
      <c r="D91" s="9" t="s">
        <v>223</v>
      </c>
      <c r="E91" s="10" t="str">
        <f>HYPERLINK("https://twitter.com/VzlaAmaElFutbol/status/1071417809714872321","1071417809714872321")</f>
        <v>1071417809714872321</v>
      </c>
      <c r="F91" s="12" t="s">
        <v>794</v>
      </c>
      <c r="G91" s="12" t="s">
        <v>795</v>
      </c>
      <c r="H91" s="11"/>
      <c r="I91" s="13">
        <v>1</v>
      </c>
      <c r="J91" s="13">
        <v>0</v>
      </c>
      <c r="K91" s="14" t="str">
        <f>HYPERLINK("https://dlvrit.com/","dlvr.it")</f>
        <v>dlvr.it</v>
      </c>
      <c r="L91" s="13">
        <v>6862</v>
      </c>
      <c r="M91" s="13">
        <v>2845</v>
      </c>
      <c r="N91" s="13">
        <v>85</v>
      </c>
      <c r="O91" s="15"/>
      <c r="P91" s="6">
        <v>40425.879942129628</v>
      </c>
      <c r="Q91" s="11"/>
      <c r="R91" s="19" t="s">
        <v>797</v>
      </c>
      <c r="S91" s="12" t="s">
        <v>798</v>
      </c>
      <c r="T91" s="11"/>
      <c r="U91" s="10" t="str">
        <f>HYPERLINK("https://pbs.twimg.com/profile_images/612363077133185026/SPNWvM_U.jpg","View")</f>
        <v>View</v>
      </c>
    </row>
    <row r="92" spans="1:21" ht="20.399999999999999">
      <c r="A92" s="6">
        <v>43442.661886574075</v>
      </c>
      <c r="B92" s="7" t="str">
        <f>HYPERLINK("https://twitter.com/4444isa","@4444isa")</f>
        <v>@4444isa</v>
      </c>
      <c r="C92" s="8" t="s">
        <v>47</v>
      </c>
      <c r="D92" s="9" t="s">
        <v>48</v>
      </c>
      <c r="E92" s="10" t="str">
        <f>HYPERLINK("https://twitter.com/4444isa/status/1071417395045109760","1071417395045109760")</f>
        <v>1071417395045109760</v>
      </c>
      <c r="F92" s="12" t="s">
        <v>52</v>
      </c>
      <c r="G92" s="11"/>
      <c r="H92" s="11"/>
      <c r="I92" s="13">
        <v>0</v>
      </c>
      <c r="J92" s="13">
        <v>0</v>
      </c>
      <c r="K92" s="14" t="str">
        <f t="shared" ref="K92:K93" si="13">HYPERLINK("http://twitter.com/download/android","Twitter for Android")</f>
        <v>Twitter for Android</v>
      </c>
      <c r="L92" s="13">
        <v>1448</v>
      </c>
      <c r="M92" s="13">
        <v>1303</v>
      </c>
      <c r="N92" s="13">
        <v>181</v>
      </c>
      <c r="O92" s="15"/>
      <c r="P92" s="6">
        <v>42002.523680555554</v>
      </c>
      <c r="Q92" s="18" t="s">
        <v>56</v>
      </c>
      <c r="R92" s="19" t="s">
        <v>57</v>
      </c>
      <c r="S92" s="11"/>
      <c r="T92" s="11"/>
      <c r="U92" s="10" t="str">
        <f>HYPERLINK("https://pbs.twimg.com/profile_images/705124969949372418/aRT41OCd.jpg","View")</f>
        <v>View</v>
      </c>
    </row>
    <row r="93" spans="1:21" ht="20.399999999999999">
      <c r="A93" s="6">
        <v>43442.660868055551</v>
      </c>
      <c r="B93" s="7" t="str">
        <f>HYPERLINK("https://twitter.com/luigisspider","@luigisspider")</f>
        <v>@luigisspider</v>
      </c>
      <c r="C93" s="8" t="s">
        <v>806</v>
      </c>
      <c r="D93" s="9" t="s">
        <v>148</v>
      </c>
      <c r="E93" s="10" t="str">
        <f>HYPERLINK("https://twitter.com/luigisspider/status/1071417023845097472","1071417023845097472")</f>
        <v>1071417023845097472</v>
      </c>
      <c r="F93" s="12" t="s">
        <v>149</v>
      </c>
      <c r="G93" s="11"/>
      <c r="H93" s="11"/>
      <c r="I93" s="13">
        <v>0</v>
      </c>
      <c r="J93" s="13">
        <v>0</v>
      </c>
      <c r="K93" s="14" t="str">
        <f t="shared" si="13"/>
        <v>Twitter for Android</v>
      </c>
      <c r="L93" s="13">
        <v>359</v>
      </c>
      <c r="M93" s="13">
        <v>1340</v>
      </c>
      <c r="N93" s="13">
        <v>0</v>
      </c>
      <c r="O93" s="15"/>
      <c r="P93" s="6">
        <v>40194.129664351851</v>
      </c>
      <c r="Q93" s="11"/>
      <c r="R93" s="19" t="s">
        <v>807</v>
      </c>
      <c r="S93" s="11"/>
      <c r="T93" s="11"/>
      <c r="U93" s="10" t="str">
        <f>HYPERLINK("https://pbs.twimg.com/profile_images/1070897482584989697/iUGOLVJE.jpg","View")</f>
        <v>View</v>
      </c>
    </row>
    <row r="94" spans="1:21" ht="20.399999999999999">
      <c r="A94" s="6">
        <v>43442.657453703709</v>
      </c>
      <c r="B94" s="7" t="str">
        <f>HYPERLINK("https://twitter.com/Darwin_Encina","@Darwin_Encina")</f>
        <v>@Darwin_Encina</v>
      </c>
      <c r="C94" s="8" t="s">
        <v>811</v>
      </c>
      <c r="D94" s="9" t="s">
        <v>813</v>
      </c>
      <c r="E94" s="10" t="str">
        <f>HYPERLINK("https://twitter.com/Darwin_Encina/status/1071415787037081602","1071415787037081602")</f>
        <v>1071415787037081602</v>
      </c>
      <c r="F94" s="12" t="s">
        <v>815</v>
      </c>
      <c r="G94" s="11"/>
      <c r="H94" s="11"/>
      <c r="I94" s="13">
        <v>0</v>
      </c>
      <c r="J94" s="13">
        <v>0</v>
      </c>
      <c r="K94" s="14" t="str">
        <f>HYPERLINK("http://twitter.com","Twitter Web Client")</f>
        <v>Twitter Web Client</v>
      </c>
      <c r="L94" s="13">
        <v>1459</v>
      </c>
      <c r="M94" s="13">
        <v>1396</v>
      </c>
      <c r="N94" s="13">
        <v>13</v>
      </c>
      <c r="O94" s="15"/>
      <c r="P94" s="6">
        <v>41602.914548611108</v>
      </c>
      <c r="Q94" s="11"/>
      <c r="R94" s="17"/>
      <c r="S94" s="11"/>
      <c r="T94" s="11"/>
      <c r="U94" s="10" t="str">
        <f>HYPERLINK("https://pbs.twimg.com/profile_images/851185111450124293/kSP1T9lK.jpg","View")</f>
        <v>View</v>
      </c>
    </row>
    <row r="95" spans="1:21" ht="40.799999999999997">
      <c r="A95" s="6">
        <v>43442.65662037037</v>
      </c>
      <c r="B95" s="7" t="str">
        <f>HYPERLINK("https://twitter.com/MaxiRockatansky","@MaxiRockatansky")</f>
        <v>@MaxiRockatansky</v>
      </c>
      <c r="C95" s="8" t="s">
        <v>819</v>
      </c>
      <c r="D95" s="9" t="s">
        <v>820</v>
      </c>
      <c r="E95" s="10" t="str">
        <f>HYPERLINK("https://twitter.com/MaxiRockatansky/status/1071415486737539073","1071415486737539073")</f>
        <v>1071415486737539073</v>
      </c>
      <c r="F95" s="11"/>
      <c r="G95" s="11"/>
      <c r="H95" s="11"/>
      <c r="I95" s="13">
        <v>0</v>
      </c>
      <c r="J95" s="13">
        <v>0</v>
      </c>
      <c r="K95" s="14" t="str">
        <f>HYPERLINK("http://www.tweetcaster.com","TweetCaster for Android")</f>
        <v>TweetCaster for Android</v>
      </c>
      <c r="L95" s="13">
        <v>15</v>
      </c>
      <c r="M95" s="13">
        <v>84</v>
      </c>
      <c r="N95" s="13">
        <v>0</v>
      </c>
      <c r="O95" s="15"/>
      <c r="P95" s="6">
        <v>43281.819606481484</v>
      </c>
      <c r="Q95" s="18" t="s">
        <v>821</v>
      </c>
      <c r="R95" s="19" t="s">
        <v>822</v>
      </c>
      <c r="S95" s="11"/>
      <c r="T95" s="11"/>
      <c r="U95" s="10" t="str">
        <f>HYPERLINK("https://pbs.twimg.com/profile_images/1018973970018832384/KHva7ghs.jpg","View")</f>
        <v>View</v>
      </c>
    </row>
    <row r="96" spans="1:21" ht="40.799999999999997">
      <c r="A96" s="6">
        <v>43442.656504629631</v>
      </c>
      <c r="B96" s="7" t="str">
        <f>HYPERLINK("https://twitter.com/chiquitamala","@chiquitamala")</f>
        <v>@chiquitamala</v>
      </c>
      <c r="C96" s="8" t="s">
        <v>824</v>
      </c>
      <c r="D96" s="9" t="s">
        <v>826</v>
      </c>
      <c r="E96" s="10" t="str">
        <f>HYPERLINK("https://twitter.com/chiquitamala/status/1071415442751799296","1071415442751799296")</f>
        <v>1071415442751799296</v>
      </c>
      <c r="F96" s="12" t="s">
        <v>827</v>
      </c>
      <c r="G96" s="11"/>
      <c r="H96" s="11"/>
      <c r="I96" s="13">
        <v>0</v>
      </c>
      <c r="J96" s="13">
        <v>0</v>
      </c>
      <c r="K96" s="14" t="str">
        <f t="shared" ref="K96:K98" si="14">HYPERLINK("http://twitter.com","Twitter Web Client")</f>
        <v>Twitter Web Client</v>
      </c>
      <c r="L96" s="13">
        <v>2141</v>
      </c>
      <c r="M96" s="13">
        <v>1261</v>
      </c>
      <c r="N96" s="13">
        <v>72</v>
      </c>
      <c r="O96" s="15"/>
      <c r="P96" s="6">
        <v>39958.805497685185</v>
      </c>
      <c r="Q96" s="18" t="s">
        <v>828</v>
      </c>
      <c r="R96" s="19" t="s">
        <v>829</v>
      </c>
      <c r="S96" s="12" t="s">
        <v>830</v>
      </c>
      <c r="T96" s="11"/>
      <c r="U96" s="10" t="str">
        <f>HYPERLINK("https://pbs.twimg.com/profile_images/941079351810035713/tluJnM-W.jpg","View")</f>
        <v>View</v>
      </c>
    </row>
    <row r="97" spans="1:21" ht="30.6">
      <c r="A97" s="6">
        <v>43442.654004629629</v>
      </c>
      <c r="B97" s="7" t="str">
        <f>HYPERLINK("https://twitter.com/riselo","@riselo")</f>
        <v>@riselo</v>
      </c>
      <c r="C97" s="8" t="s">
        <v>833</v>
      </c>
      <c r="D97" s="9" t="s">
        <v>834</v>
      </c>
      <c r="E97" s="10" t="str">
        <f>HYPERLINK("https://twitter.com/riselo/status/1071414539466522624","1071414539466522624")</f>
        <v>1071414539466522624</v>
      </c>
      <c r="F97" s="12" t="s">
        <v>836</v>
      </c>
      <c r="G97" s="11"/>
      <c r="H97" s="11"/>
      <c r="I97" s="13">
        <v>0</v>
      </c>
      <c r="J97" s="13">
        <v>0</v>
      </c>
      <c r="K97" s="14" t="str">
        <f t="shared" si="14"/>
        <v>Twitter Web Client</v>
      </c>
      <c r="L97" s="13">
        <v>40</v>
      </c>
      <c r="M97" s="13">
        <v>3438</v>
      </c>
      <c r="N97" s="13">
        <v>1</v>
      </c>
      <c r="O97" s="15"/>
      <c r="P97" s="6">
        <v>39637.653726851851</v>
      </c>
      <c r="Q97" s="18" t="s">
        <v>173</v>
      </c>
      <c r="R97" s="19" t="s">
        <v>837</v>
      </c>
      <c r="S97" s="12" t="s">
        <v>838</v>
      </c>
      <c r="T97" s="11"/>
      <c r="U97" s="10" t="str">
        <f>HYPERLINK("https://pbs.twimg.com/profile_images/2580784847/wfkcw2vn8g9z7f5qqz97.jpeg","View")</f>
        <v>View</v>
      </c>
    </row>
    <row r="98" spans="1:21" ht="40.799999999999997">
      <c r="A98" s="6">
        <v>43442.652465277773</v>
      </c>
      <c r="B98" s="7" t="str">
        <f>HYPERLINK("https://twitter.com/FLABTRINI","@FLABTRINI")</f>
        <v>@FLABTRINI</v>
      </c>
      <c r="C98" s="8" t="s">
        <v>839</v>
      </c>
      <c r="D98" s="9" t="s">
        <v>612</v>
      </c>
      <c r="E98" s="10" t="str">
        <f>HYPERLINK("https://twitter.com/FLABTRINI/status/1071413981548609536","1071413981548609536")</f>
        <v>1071413981548609536</v>
      </c>
      <c r="F98" s="12" t="s">
        <v>49</v>
      </c>
      <c r="G98" s="11"/>
      <c r="H98" s="11"/>
      <c r="I98" s="13">
        <v>0</v>
      </c>
      <c r="J98" s="13">
        <v>0</v>
      </c>
      <c r="K98" s="14" t="str">
        <f t="shared" si="14"/>
        <v>Twitter Web Client</v>
      </c>
      <c r="L98" s="13">
        <v>94</v>
      </c>
      <c r="M98" s="13">
        <v>348</v>
      </c>
      <c r="N98" s="13">
        <v>6</v>
      </c>
      <c r="O98" s="15"/>
      <c r="P98" s="6">
        <v>40572.451898148152</v>
      </c>
      <c r="Q98" s="18" t="s">
        <v>192</v>
      </c>
      <c r="R98" s="19" t="s">
        <v>844</v>
      </c>
      <c r="S98" s="11"/>
      <c r="T98" s="11"/>
      <c r="U98" s="10" t="str">
        <f>HYPERLINK("https://pbs.twimg.com/profile_images/837576013777420289/M5WwMs0v.jpg","View")</f>
        <v>View</v>
      </c>
    </row>
    <row r="99" spans="1:21" ht="40.799999999999997">
      <c r="A99" s="6">
        <v>43442.652245370366</v>
      </c>
      <c r="B99" s="7" t="str">
        <f>HYPERLINK("https://twitter.com/criptosfree","@criptosfree")</f>
        <v>@criptosfree</v>
      </c>
      <c r="C99" s="8" t="s">
        <v>169</v>
      </c>
      <c r="D99" s="9" t="s">
        <v>170</v>
      </c>
      <c r="E99" s="10" t="str">
        <f>HYPERLINK("https://twitter.com/criptosfree/status/1071413902683111424","1071413902683111424")</f>
        <v>1071413902683111424</v>
      </c>
      <c r="F99" s="11"/>
      <c r="G99" s="12" t="s">
        <v>171</v>
      </c>
      <c r="H99" s="11"/>
      <c r="I99" s="13">
        <v>0</v>
      </c>
      <c r="J99" s="13">
        <v>0</v>
      </c>
      <c r="K99" s="14" t="str">
        <f t="shared" ref="K99:K100" si="15">HYPERLINK("http://twitter.com/download/android","Twitter for Android")</f>
        <v>Twitter for Android</v>
      </c>
      <c r="L99" s="13">
        <v>27</v>
      </c>
      <c r="M99" s="13">
        <v>70</v>
      </c>
      <c r="N99" s="13">
        <v>0</v>
      </c>
      <c r="O99" s="15"/>
      <c r="P99" s="6">
        <v>43243.494629629626</v>
      </c>
      <c r="Q99" s="18" t="s">
        <v>173</v>
      </c>
      <c r="R99" s="19" t="s">
        <v>174</v>
      </c>
      <c r="S99" s="12" t="s">
        <v>175</v>
      </c>
      <c r="T99" s="11"/>
      <c r="U99" s="10" t="str">
        <f>HYPERLINK("https://pbs.twimg.com/profile_images/999229720494460928/9eiZjcjT.jpg","View")</f>
        <v>View</v>
      </c>
    </row>
    <row r="100" spans="1:21" ht="51">
      <c r="A100" s="6">
        <v>43442.652048611111</v>
      </c>
      <c r="B100" s="7" t="str">
        <f>HYPERLINK("https://twitter.com/AlexisG89088211","@AlexisG89088211")</f>
        <v>@AlexisG89088211</v>
      </c>
      <c r="C100" s="8" t="s">
        <v>851</v>
      </c>
      <c r="D100" s="9" t="s">
        <v>852</v>
      </c>
      <c r="E100" s="10" t="str">
        <f>HYPERLINK("https://twitter.com/AlexisG89088211/status/1071413830922719233","1071413830922719233")</f>
        <v>1071413830922719233</v>
      </c>
      <c r="F100" s="12" t="s">
        <v>854</v>
      </c>
      <c r="G100" s="11"/>
      <c r="H100" s="11"/>
      <c r="I100" s="13">
        <v>1</v>
      </c>
      <c r="J100" s="13">
        <v>0</v>
      </c>
      <c r="K100" s="14" t="str">
        <f t="shared" si="15"/>
        <v>Twitter for Android</v>
      </c>
      <c r="L100" s="13">
        <v>137</v>
      </c>
      <c r="M100" s="13">
        <v>135</v>
      </c>
      <c r="N100" s="13">
        <v>2</v>
      </c>
      <c r="O100" s="15"/>
      <c r="P100" s="6">
        <v>43188.295127314814</v>
      </c>
      <c r="Q100" s="18" t="s">
        <v>856</v>
      </c>
      <c r="R100" s="19" t="s">
        <v>857</v>
      </c>
      <c r="S100" s="11"/>
      <c r="T100" s="11"/>
      <c r="U100" s="10" t="str">
        <f>HYPERLINK("https://pbs.twimg.com/profile_images/998079216871600129/jH-wiubc.jpg","View")</f>
        <v>View</v>
      </c>
    </row>
    <row r="101" spans="1:21" ht="30.6">
      <c r="A101" s="6">
        <v>43442.651655092588</v>
      </c>
      <c r="B101" s="7" t="str">
        <f>HYPERLINK("https://twitter.com/s_chusita","@s_chusita")</f>
        <v>@s_chusita</v>
      </c>
      <c r="C101" s="8" t="s">
        <v>858</v>
      </c>
      <c r="D101" s="9" t="s">
        <v>859</v>
      </c>
      <c r="E101" s="10" t="str">
        <f>HYPERLINK("https://twitter.com/s_chusita/status/1071413685653045248","1071413685653045248")</f>
        <v>1071413685653045248</v>
      </c>
      <c r="F101" s="12" t="s">
        <v>860</v>
      </c>
      <c r="G101" s="11"/>
      <c r="H101" s="11"/>
      <c r="I101" s="13">
        <v>0</v>
      </c>
      <c r="J101" s="13">
        <v>0</v>
      </c>
      <c r="K101" s="14" t="str">
        <f>HYPERLINK("http://twitter.com","Twitter Web Client")</f>
        <v>Twitter Web Client</v>
      </c>
      <c r="L101" s="13">
        <v>826</v>
      </c>
      <c r="M101" s="13">
        <v>958</v>
      </c>
      <c r="N101" s="13">
        <v>19</v>
      </c>
      <c r="O101" s="15"/>
      <c r="P101" s="6">
        <v>41713.557534722218</v>
      </c>
      <c r="Q101" s="11"/>
      <c r="R101" s="19" t="s">
        <v>864</v>
      </c>
      <c r="S101" s="11"/>
      <c r="T101" s="11"/>
      <c r="U101" s="10" t="str">
        <f>HYPERLINK("https://pbs.twimg.com/profile_images/538062152943542272/ndRgQlEF.jpeg","View")</f>
        <v>View</v>
      </c>
    </row>
    <row r="102" spans="1:21" ht="40.799999999999997">
      <c r="A102" s="6">
        <v>43442.65143518518</v>
      </c>
      <c r="B102" s="7" t="str">
        <f>HYPERLINK("https://twitter.com/kaquijuan","@kaquijuan")</f>
        <v>@kaquijuan</v>
      </c>
      <c r="C102" s="8" t="s">
        <v>866</v>
      </c>
      <c r="D102" s="9" t="s">
        <v>223</v>
      </c>
      <c r="E102" s="10" t="str">
        <f>HYPERLINK("https://twitter.com/kaquijuan/status/1071413608192475136","1071413608192475136")</f>
        <v>1071413608192475136</v>
      </c>
      <c r="F102" s="12" t="s">
        <v>867</v>
      </c>
      <c r="G102" s="12" t="s">
        <v>868</v>
      </c>
      <c r="H102" s="11"/>
      <c r="I102" s="13">
        <v>0</v>
      </c>
      <c r="J102" s="13">
        <v>0</v>
      </c>
      <c r="K102" s="14" t="str">
        <f>HYPERLINK("https://dlvrit.com/","dlvr.it")</f>
        <v>dlvr.it</v>
      </c>
      <c r="L102" s="13">
        <v>3758</v>
      </c>
      <c r="M102" s="13">
        <v>4029</v>
      </c>
      <c r="N102" s="13">
        <v>13</v>
      </c>
      <c r="O102" s="15"/>
      <c r="P102" s="6">
        <v>40206.588750000003</v>
      </c>
      <c r="Q102" s="18" t="s">
        <v>204</v>
      </c>
      <c r="R102" s="19" t="s">
        <v>872</v>
      </c>
      <c r="S102" s="12" t="s">
        <v>873</v>
      </c>
      <c r="T102" s="11"/>
      <c r="U102" s="10" t="str">
        <f>HYPERLINK("https://pbs.twimg.com/profile_images/954173149754658816/n2s5Ghx_.jpg","View")</f>
        <v>View</v>
      </c>
    </row>
    <row r="103" spans="1:21" ht="20.399999999999999">
      <c r="A103" s="6">
        <v>43442.65116898148</v>
      </c>
      <c r="B103" s="7" t="str">
        <f>HYPERLINK("https://twitter.com/negativo_stats","@negativo_stats")</f>
        <v>@negativo_stats</v>
      </c>
      <c r="C103" s="8" t="s">
        <v>176</v>
      </c>
      <c r="D103" s="9" t="s">
        <v>177</v>
      </c>
      <c r="E103" s="10" t="str">
        <f>HYPERLINK("https://twitter.com/negativo_stats/status/1071413509026660352","1071413509026660352")</f>
        <v>1071413509026660352</v>
      </c>
      <c r="F103" s="11"/>
      <c r="G103" s="12" t="s">
        <v>181</v>
      </c>
      <c r="H103" s="11"/>
      <c r="I103" s="13">
        <v>0</v>
      </c>
      <c r="J103" s="13">
        <v>0</v>
      </c>
      <c r="K103" s="14" t="str">
        <f>HYPERLINK("http://kosmonautica.es","Política Negativa")</f>
        <v>Política Negativa</v>
      </c>
      <c r="L103" s="13">
        <v>268</v>
      </c>
      <c r="M103" s="13">
        <v>788</v>
      </c>
      <c r="N103" s="13">
        <v>2</v>
      </c>
      <c r="O103" s="15"/>
      <c r="P103" s="6">
        <v>42171.770601851851</v>
      </c>
      <c r="Q103" s="18" t="s">
        <v>41</v>
      </c>
      <c r="R103" s="19" t="s">
        <v>182</v>
      </c>
      <c r="S103" s="11"/>
      <c r="T103" s="11"/>
      <c r="U103" s="10" t="str">
        <f>HYPERLINK("https://pbs.twimg.com/profile_images/628553625984438272/e-VHyhP1.png","View")</f>
        <v>View</v>
      </c>
    </row>
    <row r="104" spans="1:21" ht="40.799999999999997">
      <c r="A104" s="6">
        <v>43442.650648148148</v>
      </c>
      <c r="B104" s="7" t="str">
        <f>HYPERLINK("https://twitter.com/RosaRosavieji1","@RosaRosavieji1")</f>
        <v>@RosaRosavieji1</v>
      </c>
      <c r="C104" s="8" t="s">
        <v>878</v>
      </c>
      <c r="D104" s="9" t="s">
        <v>879</v>
      </c>
      <c r="E104" s="10" t="str">
        <f>HYPERLINK("https://twitter.com/RosaRosavieji1/status/1071413323793612801","1071413323793612801")</f>
        <v>1071413323793612801</v>
      </c>
      <c r="F104" s="12" t="s">
        <v>881</v>
      </c>
      <c r="G104" s="11"/>
      <c r="H104" s="11"/>
      <c r="I104" s="13">
        <v>0</v>
      </c>
      <c r="J104" s="13">
        <v>0</v>
      </c>
      <c r="K104" s="14" t="str">
        <f t="shared" ref="K104:K105" si="16">HYPERLINK("http://twitter.com/download/android","Twitter for Android")</f>
        <v>Twitter for Android</v>
      </c>
      <c r="L104" s="13">
        <v>2693</v>
      </c>
      <c r="M104" s="13">
        <v>2863</v>
      </c>
      <c r="N104" s="13">
        <v>139</v>
      </c>
      <c r="O104" s="15"/>
      <c r="P104" s="6">
        <v>42043.986851851849</v>
      </c>
      <c r="Q104" s="11"/>
      <c r="R104" s="19" t="s">
        <v>884</v>
      </c>
      <c r="S104" s="11"/>
      <c r="T104" s="11"/>
      <c r="U104" s="10" t="str">
        <f>HYPERLINK("https://pbs.twimg.com/profile_images/565548930206027776/3EudG_tT.jpeg","View")</f>
        <v>View</v>
      </c>
    </row>
    <row r="105" spans="1:21" ht="40.799999999999997">
      <c r="A105" s="6">
        <v>43442.650208333333</v>
      </c>
      <c r="B105" s="7" t="str">
        <f>HYPERLINK("https://twitter.com/NicoleP34312553","@NicoleP34312553")</f>
        <v>@NicoleP34312553</v>
      </c>
      <c r="C105" s="8" t="s">
        <v>188</v>
      </c>
      <c r="D105" s="9" t="s">
        <v>189</v>
      </c>
      <c r="E105" s="10" t="str">
        <f>HYPERLINK("https://twitter.com/NicoleP34312553/status/1071413162749104139","1071413162749104139")</f>
        <v>1071413162749104139</v>
      </c>
      <c r="F105" s="11"/>
      <c r="G105" s="11"/>
      <c r="H105" s="11"/>
      <c r="I105" s="13">
        <v>0</v>
      </c>
      <c r="J105" s="13">
        <v>14</v>
      </c>
      <c r="K105" s="14" t="str">
        <f t="shared" si="16"/>
        <v>Twitter for Android</v>
      </c>
      <c r="L105" s="13">
        <v>926</v>
      </c>
      <c r="M105" s="13">
        <v>1564</v>
      </c>
      <c r="N105" s="13">
        <v>1</v>
      </c>
      <c r="O105" s="15"/>
      <c r="P105" s="6">
        <v>43398.700578703705</v>
      </c>
      <c r="Q105" s="18" t="s">
        <v>195</v>
      </c>
      <c r="R105" s="19" t="s">
        <v>196</v>
      </c>
      <c r="S105" s="11"/>
      <c r="T105" s="11"/>
      <c r="U105" s="10" t="str">
        <f>HYPERLINK("https://pbs.twimg.com/profile_images/1065034431688265728/UuJs7FO7.jpg","View")</f>
        <v>View</v>
      </c>
    </row>
    <row r="106" spans="1:21" ht="20.399999999999999">
      <c r="A106" s="6">
        <v>43442.650150462963</v>
      </c>
      <c r="B106" s="7" t="str">
        <f>HYPERLINK("https://twitter.com/gallagherleaks","@gallagherleaks")</f>
        <v>@gallagherleaks</v>
      </c>
      <c r="C106" s="8" t="s">
        <v>888</v>
      </c>
      <c r="D106" s="9" t="s">
        <v>889</v>
      </c>
      <c r="E106" s="10" t="str">
        <f>HYPERLINK("https://twitter.com/gallagherleaks/status/1071413142431916035","1071413142431916035")</f>
        <v>1071413142431916035</v>
      </c>
      <c r="F106" s="11"/>
      <c r="G106" s="11"/>
      <c r="H106" s="11"/>
      <c r="I106" s="13">
        <v>0</v>
      </c>
      <c r="J106" s="13">
        <v>0</v>
      </c>
      <c r="K106" s="14" t="str">
        <f>HYPERLINK("http://twitter.com/download/iphone","Twitter for iPhone")</f>
        <v>Twitter for iPhone</v>
      </c>
      <c r="L106" s="13">
        <v>1095</v>
      </c>
      <c r="M106" s="13">
        <v>998</v>
      </c>
      <c r="N106" s="13">
        <v>22</v>
      </c>
      <c r="O106" s="15"/>
      <c r="P106" s="6">
        <v>40533.808668981481</v>
      </c>
      <c r="Q106" s="18" t="s">
        <v>892</v>
      </c>
      <c r="R106" s="19" t="s">
        <v>893</v>
      </c>
      <c r="S106" s="11"/>
      <c r="T106" s="11"/>
      <c r="U106" s="10" t="str">
        <f>HYPERLINK("https://pbs.twimg.com/profile_images/1036677188211421186/M_1NH2L8.jpg","View")</f>
        <v>View</v>
      </c>
    </row>
    <row r="107" spans="1:21" ht="40.799999999999997">
      <c r="A107" s="6">
        <v>43442.649780092594</v>
      </c>
      <c r="B107" s="7" t="str">
        <f>HYPERLINK("https://twitter.com/virginia_wolff","@virginia_wolff")</f>
        <v>@virginia_wolff</v>
      </c>
      <c r="C107" s="8" t="s">
        <v>896</v>
      </c>
      <c r="D107" s="9" t="s">
        <v>897</v>
      </c>
      <c r="E107" s="10" t="str">
        <f>HYPERLINK("https://twitter.com/virginia_wolff/status/1071413008340054018","1071413008340054018")</f>
        <v>1071413008340054018</v>
      </c>
      <c r="F107" s="12" t="s">
        <v>899</v>
      </c>
      <c r="G107" s="11"/>
      <c r="H107" s="11"/>
      <c r="I107" s="13">
        <v>1</v>
      </c>
      <c r="J107" s="13">
        <v>0</v>
      </c>
      <c r="K107" s="14" t="str">
        <f t="shared" ref="K107:K108" si="17">HYPERLINK("http://twitter.com/download/android","Twitter for Android")</f>
        <v>Twitter for Android</v>
      </c>
      <c r="L107" s="13">
        <v>1799</v>
      </c>
      <c r="M107" s="13">
        <v>1083</v>
      </c>
      <c r="N107" s="13">
        <v>16</v>
      </c>
      <c r="O107" s="15"/>
      <c r="P107" s="6">
        <v>40980.016770833332</v>
      </c>
      <c r="Q107" s="18" t="s">
        <v>903</v>
      </c>
      <c r="R107" s="19" t="s">
        <v>904</v>
      </c>
      <c r="S107" s="11"/>
      <c r="T107" s="11"/>
      <c r="U107" s="10" t="str">
        <f>HYPERLINK("https://pbs.twimg.com/profile_images/914090986627829761/dvEE7_Wu.jpg","View")</f>
        <v>View</v>
      </c>
    </row>
    <row r="108" spans="1:21" ht="20.399999999999999">
      <c r="A108" s="6">
        <v>43442.649050925931</v>
      </c>
      <c r="B108" s="7" t="str">
        <f>HYPERLINK("https://twitter.com/sindoGS","@sindoGS")</f>
        <v>@sindoGS</v>
      </c>
      <c r="C108" s="8" t="s">
        <v>905</v>
      </c>
      <c r="D108" s="9" t="s">
        <v>148</v>
      </c>
      <c r="E108" s="10" t="str">
        <f>HYPERLINK("https://twitter.com/sindoGS/status/1071412742383431680","1071412742383431680")</f>
        <v>1071412742383431680</v>
      </c>
      <c r="F108" s="12" t="s">
        <v>149</v>
      </c>
      <c r="G108" s="11"/>
      <c r="H108" s="11"/>
      <c r="I108" s="13">
        <v>0</v>
      </c>
      <c r="J108" s="13">
        <v>0</v>
      </c>
      <c r="K108" s="14" t="str">
        <f t="shared" si="17"/>
        <v>Twitter for Android</v>
      </c>
      <c r="L108" s="13">
        <v>1213</v>
      </c>
      <c r="M108" s="13">
        <v>1335</v>
      </c>
      <c r="N108" s="13">
        <v>15</v>
      </c>
      <c r="O108" s="15"/>
      <c r="P108" s="6">
        <v>40611.740335648152</v>
      </c>
      <c r="Q108" s="18" t="s">
        <v>42</v>
      </c>
      <c r="R108" s="19" t="s">
        <v>909</v>
      </c>
      <c r="S108" s="11"/>
      <c r="T108" s="11"/>
      <c r="U108" s="10" t="str">
        <f>HYPERLINK("https://pbs.twimg.com/profile_images/788394620233408513/KzyDL2td.jpg","View")</f>
        <v>View</v>
      </c>
    </row>
    <row r="109" spans="1:21" ht="40.799999999999997">
      <c r="A109" s="6">
        <v>43442.648217592592</v>
      </c>
      <c r="B109" s="7" t="str">
        <f>HYPERLINK("https://twitter.com/palmcf","@palmcf")</f>
        <v>@palmcf</v>
      </c>
      <c r="C109" s="8" t="s">
        <v>912</v>
      </c>
      <c r="D109" s="9" t="s">
        <v>285</v>
      </c>
      <c r="E109" s="10" t="str">
        <f>HYPERLINK("https://twitter.com/palmcf/status/1071412439076483073","1071412439076483073")</f>
        <v>1071412439076483073</v>
      </c>
      <c r="F109" s="12" t="s">
        <v>290</v>
      </c>
      <c r="G109" s="11"/>
      <c r="H109" s="11"/>
      <c r="I109" s="13">
        <v>0</v>
      </c>
      <c r="J109" s="13">
        <v>0</v>
      </c>
      <c r="K109" s="14" t="str">
        <f t="shared" ref="K109:K110" si="18">HYPERLINK("http://twitter.com","Twitter Web Client")</f>
        <v>Twitter Web Client</v>
      </c>
      <c r="L109" s="13">
        <v>2228</v>
      </c>
      <c r="M109" s="13">
        <v>2738</v>
      </c>
      <c r="N109" s="13">
        <v>67</v>
      </c>
      <c r="O109" s="15"/>
      <c r="P109" s="6">
        <v>41154.918287037035</v>
      </c>
      <c r="Q109" s="18" t="s">
        <v>307</v>
      </c>
      <c r="R109" s="19" t="s">
        <v>916</v>
      </c>
      <c r="S109" s="11"/>
      <c r="T109" s="11"/>
      <c r="U109" s="10" t="str">
        <f>HYPERLINK("https://pbs.twimg.com/profile_images/378800000133629922/573c86acbea8e119b6f30a619370e0fa.jpeg","View")</f>
        <v>View</v>
      </c>
    </row>
    <row r="110" spans="1:21" ht="20.399999999999999">
      <c r="A110" s="6">
        <v>43442.646041666667</v>
      </c>
      <c r="B110" s="7" t="str">
        <f>HYPERLINK("https://twitter.com/piojemos","@piojemos")</f>
        <v>@piojemos</v>
      </c>
      <c r="C110" s="8" t="s">
        <v>200</v>
      </c>
      <c r="D110" s="9" t="s">
        <v>201</v>
      </c>
      <c r="E110" s="10" t="str">
        <f>HYPERLINK("https://twitter.com/piojemos/status/1071411653328207872","1071411653328207872")</f>
        <v>1071411653328207872</v>
      </c>
      <c r="F110" s="11"/>
      <c r="G110" s="12" t="s">
        <v>202</v>
      </c>
      <c r="H110" s="11"/>
      <c r="I110" s="13">
        <v>0</v>
      </c>
      <c r="J110" s="13">
        <v>0</v>
      </c>
      <c r="K110" s="14" t="str">
        <f t="shared" si="18"/>
        <v>Twitter Web Client</v>
      </c>
      <c r="L110" s="13">
        <v>50</v>
      </c>
      <c r="M110" s="13">
        <v>78</v>
      </c>
      <c r="N110" s="13">
        <v>0</v>
      </c>
      <c r="O110" s="15"/>
      <c r="P110" s="6">
        <v>43385.906550925924</v>
      </c>
      <c r="Q110" s="18" t="s">
        <v>204</v>
      </c>
      <c r="R110" s="19" t="s">
        <v>205</v>
      </c>
      <c r="S110" s="11"/>
      <c r="T110" s="11"/>
      <c r="U110" s="10" t="str">
        <f>HYPERLINK("https://pbs.twimg.com/profile_images/1050840821128486912/eq2iitQs.jpg","View")</f>
        <v>View</v>
      </c>
    </row>
    <row r="111" spans="1:21" ht="40.799999999999997">
      <c r="A111" s="6">
        <v>43442.645833333328</v>
      </c>
      <c r="B111" s="7" t="str">
        <f>HYPERLINK("https://twitter.com/VerdaderaIzqda","@VerdaderaIzqda")</f>
        <v>@VerdaderaIzqda</v>
      </c>
      <c r="C111" s="8" t="s">
        <v>922</v>
      </c>
      <c r="D111" s="9" t="s">
        <v>923</v>
      </c>
      <c r="E111" s="10" t="str">
        <f>HYPERLINK("https://twitter.com/VerdaderaIzqda/status/1071411577088290817","1071411577088290817")</f>
        <v>1071411577088290817</v>
      </c>
      <c r="F111" s="12" t="s">
        <v>924</v>
      </c>
      <c r="G111" s="11"/>
      <c r="H111" s="11"/>
      <c r="I111" s="13">
        <v>1</v>
      </c>
      <c r="J111" s="13">
        <v>2</v>
      </c>
      <c r="K111" s="14" t="str">
        <f>HYPERLINK("https://about.twitter.com/products/tweetdeck","TweetDeck")</f>
        <v>TweetDeck</v>
      </c>
      <c r="L111" s="13">
        <v>37389</v>
      </c>
      <c r="M111" s="13">
        <v>16536</v>
      </c>
      <c r="N111" s="13">
        <v>286</v>
      </c>
      <c r="O111" s="15"/>
      <c r="P111" s="6">
        <v>40716.581192129626</v>
      </c>
      <c r="Q111" s="18" t="s">
        <v>42</v>
      </c>
      <c r="R111" s="19" t="s">
        <v>927</v>
      </c>
      <c r="S111" s="12" t="s">
        <v>928</v>
      </c>
      <c r="T111" s="11"/>
      <c r="U111" s="10" t="str">
        <f>HYPERLINK("https://pbs.twimg.com/profile_images/1407748160/contra_el_comunismo.jpg","View")</f>
        <v>View</v>
      </c>
    </row>
    <row r="112" spans="1:21" ht="102">
      <c r="A112" s="6">
        <v>43442.643136574072</v>
      </c>
      <c r="B112" s="7" t="str">
        <f>HYPERLINK("https://twitter.com/OrbitaEduardo","@OrbitaEduardo")</f>
        <v>@OrbitaEduardo</v>
      </c>
      <c r="C112" s="8" t="s">
        <v>930</v>
      </c>
      <c r="D112" s="9" t="s">
        <v>931</v>
      </c>
      <c r="E112" s="10" t="str">
        <f>HYPERLINK("https://twitter.com/OrbitaEduardo/status/1071410601447055360","1071410601447055360")</f>
        <v>1071410601447055360</v>
      </c>
      <c r="F112" s="12" t="s">
        <v>933</v>
      </c>
      <c r="G112" s="12" t="s">
        <v>934</v>
      </c>
      <c r="H112" s="11"/>
      <c r="I112" s="13">
        <v>13</v>
      </c>
      <c r="J112" s="13">
        <v>10</v>
      </c>
      <c r="K112" s="14" t="str">
        <f t="shared" ref="K112:K113" si="19">HYPERLINK("http://twitter.com/download/android","Twitter for Android")</f>
        <v>Twitter for Android</v>
      </c>
      <c r="L112" s="13">
        <v>4523</v>
      </c>
      <c r="M112" s="13">
        <v>4948</v>
      </c>
      <c r="N112" s="13">
        <v>13</v>
      </c>
      <c r="O112" s="15"/>
      <c r="P112" s="6">
        <v>43110.374305555553</v>
      </c>
      <c r="Q112" s="18" t="s">
        <v>260</v>
      </c>
      <c r="R112" s="19" t="s">
        <v>935</v>
      </c>
      <c r="S112" s="11"/>
      <c r="T112" s="11"/>
      <c r="U112" s="10" t="str">
        <f>HYPERLINK("https://pbs.twimg.com/profile_images/1034013666600001538/MmqVJqFc.jpg","View")</f>
        <v>View</v>
      </c>
    </row>
    <row r="113" spans="1:21" ht="30.6">
      <c r="A113" s="6">
        <v>43442.642696759256</v>
      </c>
      <c r="B113" s="7" t="str">
        <f>HYPERLINK("https://twitter.com/julemon","@julemon")</f>
        <v>@julemon</v>
      </c>
      <c r="C113" s="8" t="s">
        <v>938</v>
      </c>
      <c r="D113" s="9" t="s">
        <v>939</v>
      </c>
      <c r="E113" s="10" t="str">
        <f>HYPERLINK("https://twitter.com/julemon/status/1071410441144975360","1071410441144975360")</f>
        <v>1071410441144975360</v>
      </c>
      <c r="F113" s="12" t="s">
        <v>296</v>
      </c>
      <c r="G113" s="11"/>
      <c r="H113" s="11"/>
      <c r="I113" s="13">
        <v>0</v>
      </c>
      <c r="J113" s="13">
        <v>0</v>
      </c>
      <c r="K113" s="14" t="str">
        <f t="shared" si="19"/>
        <v>Twitter for Android</v>
      </c>
      <c r="L113" s="13">
        <v>251</v>
      </c>
      <c r="M113" s="13">
        <v>792</v>
      </c>
      <c r="N113" s="13">
        <v>2</v>
      </c>
      <c r="O113" s="15"/>
      <c r="P113" s="6">
        <v>40377.753831018519</v>
      </c>
      <c r="Q113" s="18" t="s">
        <v>942</v>
      </c>
      <c r="R113" s="17"/>
      <c r="S113" s="11"/>
      <c r="T113" s="11"/>
      <c r="U113" s="10" t="str">
        <f>HYPERLINK("https://pbs.twimg.com/profile_images/1229253587/IMG00477-20101002-2221.jpg","View")</f>
        <v>View</v>
      </c>
    </row>
    <row r="114" spans="1:21" ht="13.2">
      <c r="A114" s="6">
        <v>43442.642106481479</v>
      </c>
      <c r="B114" s="7" t="str">
        <f>HYPERLINK("https://twitter.com/camisetasfutmx","@camisetasfutmx")</f>
        <v>@camisetasfutmx</v>
      </c>
      <c r="C114" s="8" t="s">
        <v>945</v>
      </c>
      <c r="D114" s="9" t="s">
        <v>223</v>
      </c>
      <c r="E114" s="10" t="str">
        <f>HYPERLINK("https://twitter.com/camisetasfutmx/status/1071410225423409152","1071410225423409152")</f>
        <v>1071410225423409152</v>
      </c>
      <c r="F114" s="12" t="s">
        <v>947</v>
      </c>
      <c r="G114" s="12" t="s">
        <v>949</v>
      </c>
      <c r="H114" s="11"/>
      <c r="I114" s="13">
        <v>0</v>
      </c>
      <c r="J114" s="13">
        <v>0</v>
      </c>
      <c r="K114" s="14" t="str">
        <f>HYPERLINK("https://dlvrit.com/","dlvr.it")</f>
        <v>dlvr.it</v>
      </c>
      <c r="L114" s="13">
        <v>5702</v>
      </c>
      <c r="M114" s="13">
        <v>2</v>
      </c>
      <c r="N114" s="13">
        <v>4</v>
      </c>
      <c r="O114" s="15"/>
      <c r="P114" s="6">
        <v>41507.743877314817</v>
      </c>
      <c r="Q114" s="18" t="s">
        <v>950</v>
      </c>
      <c r="R114" s="19" t="s">
        <v>951</v>
      </c>
      <c r="S114" s="12" t="s">
        <v>953</v>
      </c>
      <c r="T114" s="11"/>
      <c r="U114" s="10" t="str">
        <f>HYPERLINK("https://pbs.twimg.com/profile_images/1028907345823162368/Ukxv4M-Y.jpg","View")</f>
        <v>View</v>
      </c>
    </row>
    <row r="115" spans="1:21" ht="40.799999999999997">
      <c r="A115" s="6">
        <v>43442.641574074078</v>
      </c>
      <c r="B115" s="7" t="str">
        <f>HYPERLINK("https://twitter.com/enriquedediegov","@enriquedediegov")</f>
        <v>@enriquedediegov</v>
      </c>
      <c r="C115" s="8" t="s">
        <v>234</v>
      </c>
      <c r="D115" s="9" t="s">
        <v>235</v>
      </c>
      <c r="E115" s="10" t="str">
        <f>HYPERLINK("https://twitter.com/enriquedediegov/status/1071410032896548864","1071410032896548864")</f>
        <v>1071410032896548864</v>
      </c>
      <c r="F115" s="12" t="s">
        <v>956</v>
      </c>
      <c r="G115" s="11"/>
      <c r="H115" s="11"/>
      <c r="I115" s="13">
        <v>0</v>
      </c>
      <c r="J115" s="13">
        <v>4</v>
      </c>
      <c r="K115" s="14" t="str">
        <f>HYPERLINK("http://twitter.com","Twitter Web Client")</f>
        <v>Twitter Web Client</v>
      </c>
      <c r="L115" s="13">
        <v>7792</v>
      </c>
      <c r="M115" s="13">
        <v>6053</v>
      </c>
      <c r="N115" s="13">
        <v>179</v>
      </c>
      <c r="O115" s="15"/>
      <c r="P115" s="6">
        <v>41293.717129629629</v>
      </c>
      <c r="Q115" s="18" t="s">
        <v>42</v>
      </c>
      <c r="R115" s="19" t="s">
        <v>239</v>
      </c>
      <c r="S115" s="12" t="s">
        <v>240</v>
      </c>
      <c r="T115" s="11"/>
      <c r="U115" s="10" t="str">
        <f>HYPERLINK("https://pbs.twimg.com/profile_images/3129623790/4ae197d01442e05dee4622297c3b9642.jpeg","View")</f>
        <v>View</v>
      </c>
    </row>
    <row r="116" spans="1:21" ht="51">
      <c r="A116" s="6">
        <v>43442.640405092592</v>
      </c>
      <c r="B116" s="7" t="str">
        <f>HYPERLINK("https://twitter.com/oscarluislpezg1","@oscarluislpezg1")</f>
        <v>@oscarluislpezg1</v>
      </c>
      <c r="C116" s="8" t="s">
        <v>962</v>
      </c>
      <c r="D116" s="9" t="s">
        <v>963</v>
      </c>
      <c r="E116" s="10" t="str">
        <f>HYPERLINK("https://twitter.com/oscarluislpezg1/status/1071409608965701632","1071409608965701632")</f>
        <v>1071409608965701632</v>
      </c>
      <c r="F116" s="11"/>
      <c r="G116" s="12" t="s">
        <v>966</v>
      </c>
      <c r="H116" s="11"/>
      <c r="I116" s="13">
        <v>0</v>
      </c>
      <c r="J116" s="13">
        <v>0</v>
      </c>
      <c r="K116" s="14" t="str">
        <f t="shared" ref="K116:K119" si="20">HYPERLINK("http://twitter.com/download/android","Twitter for Android")</f>
        <v>Twitter for Android</v>
      </c>
      <c r="L116" s="13">
        <v>122</v>
      </c>
      <c r="M116" s="13">
        <v>316</v>
      </c>
      <c r="N116" s="13">
        <v>0</v>
      </c>
      <c r="O116" s="15"/>
      <c r="P116" s="6">
        <v>43290.956747685181</v>
      </c>
      <c r="Q116" s="18" t="s">
        <v>42</v>
      </c>
      <c r="R116" s="19" t="s">
        <v>969</v>
      </c>
      <c r="S116" s="11"/>
      <c r="T116" s="11"/>
      <c r="U116" s="16" t="s">
        <v>191</v>
      </c>
    </row>
    <row r="117" spans="1:21" ht="81.599999999999994">
      <c r="A117" s="6">
        <v>43442.640243055561</v>
      </c>
      <c r="B117" s="7" t="str">
        <f>HYPERLINK("https://twitter.com/HombreDCorazon","@HombreDCorazon")</f>
        <v>@HombreDCorazon</v>
      </c>
      <c r="C117" s="8" t="s">
        <v>207</v>
      </c>
      <c r="D117" s="9" t="s">
        <v>208</v>
      </c>
      <c r="E117" s="10" t="str">
        <f>HYPERLINK("https://twitter.com/HombreDCorazon/status/1071409549767335936","1071409549767335936")</f>
        <v>1071409549767335936</v>
      </c>
      <c r="F117" s="12" t="s">
        <v>209</v>
      </c>
      <c r="G117" s="11"/>
      <c r="H117" s="11"/>
      <c r="I117" s="13">
        <v>0</v>
      </c>
      <c r="J117" s="13">
        <v>0</v>
      </c>
      <c r="K117" s="14" t="str">
        <f t="shared" si="20"/>
        <v>Twitter for Android</v>
      </c>
      <c r="L117" s="13">
        <v>749</v>
      </c>
      <c r="M117" s="13">
        <v>1776</v>
      </c>
      <c r="N117" s="13">
        <v>6</v>
      </c>
      <c r="O117" s="15"/>
      <c r="P117" s="6">
        <v>42032.767581018517</v>
      </c>
      <c r="Q117" s="18" t="s">
        <v>211</v>
      </c>
      <c r="R117" s="17"/>
      <c r="S117" s="11"/>
      <c r="T117" s="11"/>
      <c r="U117" s="10" t="str">
        <f>HYPERLINK("https://pbs.twimg.com/profile_images/575330986793132033/E4m8quzw.jpeg","View")</f>
        <v>View</v>
      </c>
    </row>
    <row r="118" spans="1:21" ht="51">
      <c r="A118" s="6">
        <v>43442.638599537036</v>
      </c>
      <c r="B118" s="7" t="str">
        <f>HYPERLINK("https://twitter.com/oscarluislpezg1","@oscarluislpezg1")</f>
        <v>@oscarluislpezg1</v>
      </c>
      <c r="C118" s="8" t="s">
        <v>962</v>
      </c>
      <c r="D118" s="9" t="s">
        <v>977</v>
      </c>
      <c r="E118" s="10" t="str">
        <f>HYPERLINK("https://twitter.com/oscarluislpezg1/status/1071408956134842368","1071408956134842368")</f>
        <v>1071408956134842368</v>
      </c>
      <c r="F118" s="11"/>
      <c r="G118" s="12" t="s">
        <v>978</v>
      </c>
      <c r="H118" s="11"/>
      <c r="I118" s="13">
        <v>0</v>
      </c>
      <c r="J118" s="13">
        <v>0</v>
      </c>
      <c r="K118" s="14" t="str">
        <f t="shared" si="20"/>
        <v>Twitter for Android</v>
      </c>
      <c r="L118" s="13">
        <v>122</v>
      </c>
      <c r="M118" s="13">
        <v>316</v>
      </c>
      <c r="N118" s="13">
        <v>0</v>
      </c>
      <c r="O118" s="15"/>
      <c r="P118" s="6">
        <v>43290.956747685181</v>
      </c>
      <c r="Q118" s="18" t="s">
        <v>42</v>
      </c>
      <c r="R118" s="19" t="s">
        <v>969</v>
      </c>
      <c r="S118" s="11"/>
      <c r="T118" s="11"/>
      <c r="U118" s="16" t="s">
        <v>191</v>
      </c>
    </row>
    <row r="119" spans="1:21" ht="30.6">
      <c r="A119" s="6">
        <v>43442.638541666667</v>
      </c>
      <c r="B119" s="7" t="str">
        <f>HYPERLINK("https://twitter.com/MLCabezuelo","@MLCabezuelo")</f>
        <v>@MLCabezuelo</v>
      </c>
      <c r="C119" s="8" t="s">
        <v>979</v>
      </c>
      <c r="D119" s="9" t="s">
        <v>612</v>
      </c>
      <c r="E119" s="10" t="str">
        <f>HYPERLINK("https://twitter.com/MLCabezuelo/status/1071408934420918272","1071408934420918272")</f>
        <v>1071408934420918272</v>
      </c>
      <c r="F119" s="12" t="s">
        <v>49</v>
      </c>
      <c r="G119" s="11"/>
      <c r="H119" s="11"/>
      <c r="I119" s="13">
        <v>3</v>
      </c>
      <c r="J119" s="13">
        <v>1</v>
      </c>
      <c r="K119" s="14" t="str">
        <f t="shared" si="20"/>
        <v>Twitter for Android</v>
      </c>
      <c r="L119" s="13">
        <v>6370</v>
      </c>
      <c r="M119" s="13">
        <v>6395</v>
      </c>
      <c r="N119" s="13">
        <v>27</v>
      </c>
      <c r="O119" s="15"/>
      <c r="P119" s="6">
        <v>41240.797071759262</v>
      </c>
      <c r="Q119" s="18" t="s">
        <v>982</v>
      </c>
      <c r="R119" s="19" t="s">
        <v>983</v>
      </c>
      <c r="S119" s="11"/>
      <c r="T119" s="11"/>
      <c r="U119" s="10" t="str">
        <f>HYPERLINK("https://pbs.twimg.com/profile_images/1003662226614448129/bDmkuKD8.jpg","View")</f>
        <v>View</v>
      </c>
    </row>
    <row r="120" spans="1:21" ht="20.399999999999999">
      <c r="A120" s="6">
        <v>43442.63559027778</v>
      </c>
      <c r="B120" s="7" t="str">
        <f>HYPERLINK("https://twitter.com/lole_lolailo","@lole_lolailo")</f>
        <v>@lole_lolailo</v>
      </c>
      <c r="C120" s="8" t="s">
        <v>985</v>
      </c>
      <c r="D120" s="9" t="s">
        <v>279</v>
      </c>
      <c r="E120" s="10" t="str">
        <f>HYPERLINK("https://twitter.com/lole_lolailo/status/1071407865414541313","1071407865414541313")</f>
        <v>1071407865414541313</v>
      </c>
      <c r="F120" s="12" t="s">
        <v>280</v>
      </c>
      <c r="G120" s="11"/>
      <c r="H120" s="11"/>
      <c r="I120" s="13">
        <v>0</v>
      </c>
      <c r="J120" s="13">
        <v>0</v>
      </c>
      <c r="K120" s="14" t="str">
        <f t="shared" ref="K120:K121" si="21">HYPERLINK("http://twitter.com","Twitter Web Client")</f>
        <v>Twitter Web Client</v>
      </c>
      <c r="L120" s="13">
        <v>267</v>
      </c>
      <c r="M120" s="13">
        <v>307</v>
      </c>
      <c r="N120" s="13">
        <v>5</v>
      </c>
      <c r="O120" s="15"/>
      <c r="P120" s="6">
        <v>42536.598761574074</v>
      </c>
      <c r="Q120" s="18" t="s">
        <v>42</v>
      </c>
      <c r="R120" s="17"/>
      <c r="S120" s="11"/>
      <c r="T120" s="11"/>
      <c r="U120" s="10" t="str">
        <f>HYPERLINK("https://pbs.twimg.com/profile_images/983764830405394433/dj5D0PIN.jpg","View")</f>
        <v>View</v>
      </c>
    </row>
    <row r="121" spans="1:21" ht="20.399999999999999">
      <c r="A121" s="6">
        <v>43442.635381944448</v>
      </c>
      <c r="B121" s="7" t="str">
        <f>HYPERLINK("https://twitter.com/fjsegoviaramos","@fjsegoviaramos")</f>
        <v>@fjsegoviaramos</v>
      </c>
      <c r="C121" s="8" t="s">
        <v>988</v>
      </c>
      <c r="D121" s="9" t="s">
        <v>989</v>
      </c>
      <c r="E121" s="10" t="str">
        <f>HYPERLINK("https://twitter.com/fjsegoviaramos/status/1071407789896069121","1071407789896069121")</f>
        <v>1071407789896069121</v>
      </c>
      <c r="F121" s="12" t="s">
        <v>49</v>
      </c>
      <c r="G121" s="11"/>
      <c r="H121" s="11"/>
      <c r="I121" s="13">
        <v>0</v>
      </c>
      <c r="J121" s="13">
        <v>0</v>
      </c>
      <c r="K121" s="14" t="str">
        <f t="shared" si="21"/>
        <v>Twitter Web Client</v>
      </c>
      <c r="L121" s="13">
        <v>129</v>
      </c>
      <c r="M121" s="13">
        <v>140</v>
      </c>
      <c r="N121" s="13">
        <v>0</v>
      </c>
      <c r="O121" s="15"/>
      <c r="P121" s="6">
        <v>43143.535034722227</v>
      </c>
      <c r="Q121" s="18" t="s">
        <v>990</v>
      </c>
      <c r="R121" s="19" t="s">
        <v>991</v>
      </c>
      <c r="S121" s="12" t="s">
        <v>994</v>
      </c>
      <c r="T121" s="11"/>
      <c r="U121" s="10" t="str">
        <f>HYPERLINK("https://pbs.twimg.com/profile_images/963018611051978753/zp6xOnXX.jpg","View")</f>
        <v>View</v>
      </c>
    </row>
    <row r="122" spans="1:21" ht="51">
      <c r="A122" s="6">
        <v>43442.635162037041</v>
      </c>
      <c r="B122" s="7" t="str">
        <f>HYPERLINK("https://twitter.com/pelargon5","@pelargon5")</f>
        <v>@pelargon5</v>
      </c>
      <c r="C122" s="8" t="s">
        <v>995</v>
      </c>
      <c r="D122" s="9" t="s">
        <v>996</v>
      </c>
      <c r="E122" s="10" t="str">
        <f>HYPERLINK("https://twitter.com/pelargon5/status/1071407710745321472","1071407710745321472")</f>
        <v>1071407710745321472</v>
      </c>
      <c r="F122" s="12" t="s">
        <v>997</v>
      </c>
      <c r="G122" s="11"/>
      <c r="H122" s="11"/>
      <c r="I122" s="13">
        <v>1</v>
      </c>
      <c r="J122" s="13">
        <v>1</v>
      </c>
      <c r="K122" s="14" t="str">
        <f t="shared" ref="K122:K123" si="22">HYPERLINK("http://twitter.com/download/android","Twitter for Android")</f>
        <v>Twitter for Android</v>
      </c>
      <c r="L122" s="13">
        <v>18</v>
      </c>
      <c r="M122" s="13">
        <v>29</v>
      </c>
      <c r="N122" s="13">
        <v>0</v>
      </c>
      <c r="O122" s="15"/>
      <c r="P122" s="6">
        <v>43155.575254629628</v>
      </c>
      <c r="Q122" s="11"/>
      <c r="R122" s="17"/>
      <c r="S122" s="11"/>
      <c r="T122" s="11"/>
      <c r="U122" s="10" t="str">
        <f>HYPERLINK("https://pbs.twimg.com/profile_images/968578459864838144/DPmmnG9s.jpg","View")</f>
        <v>View</v>
      </c>
    </row>
    <row r="123" spans="1:21" ht="51">
      <c r="A123" s="6">
        <v>43442.635127314818</v>
      </c>
      <c r="B123" s="7" t="str">
        <f>HYPERLINK("https://twitter.com/Maikel_andaluz","@Maikel_andaluz")</f>
        <v>@Maikel_andaluz</v>
      </c>
      <c r="C123" s="8" t="s">
        <v>212</v>
      </c>
      <c r="D123" s="9" t="s">
        <v>213</v>
      </c>
      <c r="E123" s="10" t="str">
        <f>HYPERLINK("https://twitter.com/Maikel_andaluz/status/1071407697180925953","1071407697180925953")</f>
        <v>1071407697180925953</v>
      </c>
      <c r="F123" s="11"/>
      <c r="G123" s="11"/>
      <c r="H123" s="11"/>
      <c r="I123" s="13">
        <v>0</v>
      </c>
      <c r="J123" s="13">
        <v>0</v>
      </c>
      <c r="K123" s="14" t="str">
        <f t="shared" si="22"/>
        <v>Twitter for Android</v>
      </c>
      <c r="L123" s="13">
        <v>279</v>
      </c>
      <c r="M123" s="13">
        <v>923</v>
      </c>
      <c r="N123" s="13">
        <v>8</v>
      </c>
      <c r="O123" s="15"/>
      <c r="P123" s="6">
        <v>40984.482314814813</v>
      </c>
      <c r="Q123" s="11"/>
      <c r="R123" s="19" t="s">
        <v>214</v>
      </c>
      <c r="S123" s="11"/>
      <c r="T123" s="11"/>
      <c r="U123" s="10" t="str">
        <f>HYPERLINK("https://pbs.twimg.com/profile_images/1023975749483679744/tKMrXF3E.jpg","View")</f>
        <v>View</v>
      </c>
    </row>
    <row r="124" spans="1:21" ht="30.6">
      <c r="A124" s="6">
        <v>43442.63318287037</v>
      </c>
      <c r="B124" s="7" t="str">
        <f>HYPERLINK("https://twitter.com/Sacsco","@Sacsco")</f>
        <v>@Sacsco</v>
      </c>
      <c r="C124" s="8" t="s">
        <v>1001</v>
      </c>
      <c r="D124" s="9" t="s">
        <v>1002</v>
      </c>
      <c r="E124" s="10" t="str">
        <f>HYPERLINK("https://twitter.com/Sacsco/status/1071406990818074624","1071406990818074624")</f>
        <v>1071406990818074624</v>
      </c>
      <c r="F124" s="12" t="s">
        <v>1004</v>
      </c>
      <c r="G124" s="11"/>
      <c r="H124" s="11"/>
      <c r="I124" s="13">
        <v>0</v>
      </c>
      <c r="J124" s="13">
        <v>0</v>
      </c>
      <c r="K124" s="14" t="str">
        <f>HYPERLINK("https://www.google.com/","Google")</f>
        <v>Google</v>
      </c>
      <c r="L124" s="13">
        <v>152</v>
      </c>
      <c r="M124" s="13">
        <v>368</v>
      </c>
      <c r="N124" s="13">
        <v>2</v>
      </c>
      <c r="O124" s="15"/>
      <c r="P124" s="6">
        <v>39972.595289351855</v>
      </c>
      <c r="Q124" s="18" t="s">
        <v>1005</v>
      </c>
      <c r="R124" s="19" t="s">
        <v>1006</v>
      </c>
      <c r="S124" s="12" t="s">
        <v>1007</v>
      </c>
      <c r="T124" s="11"/>
      <c r="U124" s="10" t="str">
        <f>HYPERLINK("https://pbs.twimg.com/profile_images/2963504382/6eb46e52a1469166b9854c3e18071844.jpeg","View")</f>
        <v>View</v>
      </c>
    </row>
    <row r="125" spans="1:21" ht="40.799999999999997">
      <c r="A125" s="6">
        <v>43442.631886574076</v>
      </c>
      <c r="B125" s="7" t="str">
        <f>HYPERLINK("https://twitter.com/Fran_Frantasy","@Fran_Frantasy")</f>
        <v>@Fran_Frantasy</v>
      </c>
      <c r="C125" s="8" t="s">
        <v>1012</v>
      </c>
      <c r="D125" s="9" t="s">
        <v>1013</v>
      </c>
      <c r="E125" s="10" t="str">
        <f>HYPERLINK("https://twitter.com/Fran_Frantasy/status/1071406522763239424","1071406522763239424")</f>
        <v>1071406522763239424</v>
      </c>
      <c r="F125" s="12" t="s">
        <v>1015</v>
      </c>
      <c r="G125" s="11"/>
      <c r="H125" s="11"/>
      <c r="I125" s="13">
        <v>0</v>
      </c>
      <c r="J125" s="13">
        <v>0</v>
      </c>
      <c r="K125" s="14" t="str">
        <f t="shared" ref="K125:K126" si="23">HYPERLINK("http://twitter.com/download/android","Twitter for Android")</f>
        <v>Twitter for Android</v>
      </c>
      <c r="L125" s="13">
        <v>246</v>
      </c>
      <c r="M125" s="13">
        <v>608</v>
      </c>
      <c r="N125" s="13">
        <v>9</v>
      </c>
      <c r="O125" s="15"/>
      <c r="P125" s="6">
        <v>41303.837256944447</v>
      </c>
      <c r="Q125" s="18" t="s">
        <v>1016</v>
      </c>
      <c r="R125" s="19" t="s">
        <v>1017</v>
      </c>
      <c r="S125" s="12" t="s">
        <v>1018</v>
      </c>
      <c r="T125" s="11"/>
      <c r="U125" s="10" t="str">
        <f>HYPERLINK("https://pbs.twimg.com/profile_images/1032789034861572097/wRRastpZ.jpg","View")</f>
        <v>View</v>
      </c>
    </row>
    <row r="126" spans="1:21" ht="51">
      <c r="A126" s="6">
        <v>43442.631886574076</v>
      </c>
      <c r="B126" s="7" t="str">
        <f>HYPERLINK("https://twitter.com/CarlosJ58563305","@CarlosJ58563305")</f>
        <v>@CarlosJ58563305</v>
      </c>
      <c r="C126" s="8" t="s">
        <v>1021</v>
      </c>
      <c r="D126" s="9" t="s">
        <v>1022</v>
      </c>
      <c r="E126" s="10" t="str">
        <f>HYPERLINK("https://twitter.com/CarlosJ58563305/status/1071406522322821120","1071406522322821120")</f>
        <v>1071406522322821120</v>
      </c>
      <c r="F126" s="12" t="s">
        <v>1023</v>
      </c>
      <c r="G126" s="11"/>
      <c r="H126" s="11"/>
      <c r="I126" s="13">
        <v>6</v>
      </c>
      <c r="J126" s="13">
        <v>4</v>
      </c>
      <c r="K126" s="14" t="str">
        <f t="shared" si="23"/>
        <v>Twitter for Android</v>
      </c>
      <c r="L126" s="13">
        <v>1685</v>
      </c>
      <c r="M126" s="13">
        <v>1800</v>
      </c>
      <c r="N126" s="13">
        <v>11</v>
      </c>
      <c r="O126" s="15"/>
      <c r="P126" s="6">
        <v>43014.52344907407</v>
      </c>
      <c r="Q126" s="18" t="s">
        <v>1024</v>
      </c>
      <c r="R126" s="19" t="s">
        <v>1025</v>
      </c>
      <c r="S126" s="11"/>
      <c r="T126" s="11"/>
      <c r="U126" s="10" t="str">
        <f>HYPERLINK("https://pbs.twimg.com/profile_images/1006094968476307456/KUz5auu2.jpg","View")</f>
        <v>View</v>
      </c>
    </row>
    <row r="127" spans="1:21" ht="30.6">
      <c r="A127" s="6">
        <v>43442.630868055552</v>
      </c>
      <c r="B127" s="7" t="str">
        <f>HYPERLINK("https://twitter.com/ArcadiaLliure","@ArcadiaLliure")</f>
        <v>@ArcadiaLliure</v>
      </c>
      <c r="C127" s="8" t="s">
        <v>215</v>
      </c>
      <c r="D127" s="9" t="s">
        <v>216</v>
      </c>
      <c r="E127" s="10" t="str">
        <f>HYPERLINK("https://twitter.com/ArcadiaLliure/status/1071406152817229824","1071406152817229824")</f>
        <v>1071406152817229824</v>
      </c>
      <c r="F127" s="11"/>
      <c r="G127" s="11"/>
      <c r="H127" s="11"/>
      <c r="I127" s="13">
        <v>0</v>
      </c>
      <c r="J127" s="13">
        <v>0</v>
      </c>
      <c r="K127" s="14" t="str">
        <f>HYPERLINK("http://twitter.com/download/iphone","Twitter for iPhone")</f>
        <v>Twitter for iPhone</v>
      </c>
      <c r="L127" s="13">
        <v>374</v>
      </c>
      <c r="M127" s="13">
        <v>787</v>
      </c>
      <c r="N127" s="13">
        <v>4</v>
      </c>
      <c r="O127" s="15"/>
      <c r="P127" s="6">
        <v>41034.550335648149</v>
      </c>
      <c r="Q127" s="11"/>
      <c r="R127" s="19" t="s">
        <v>217</v>
      </c>
      <c r="S127" s="11"/>
      <c r="T127" s="11"/>
      <c r="U127" s="10" t="str">
        <f>HYPERLINK("https://pbs.twimg.com/profile_images/544530241461313536/fRgibKHc.jpeg","View")</f>
        <v>View</v>
      </c>
    </row>
    <row r="128" spans="1:21" ht="20.399999999999999">
      <c r="A128" s="6">
        <v>43442.628657407404</v>
      </c>
      <c r="B128" s="7" t="str">
        <f>HYPERLINK("https://twitter.com/iamanavigator","@iamanavigator")</f>
        <v>@iamanavigator</v>
      </c>
      <c r="C128" s="8" t="s">
        <v>1033</v>
      </c>
      <c r="D128" s="9" t="s">
        <v>1034</v>
      </c>
      <c r="E128" s="10" t="str">
        <f>HYPERLINK("https://twitter.com/iamanavigator/status/1071405354116890624","1071405354116890624")</f>
        <v>1071405354116890624</v>
      </c>
      <c r="F128" s="12" t="s">
        <v>1037</v>
      </c>
      <c r="G128" s="11"/>
      <c r="H128" s="11"/>
      <c r="I128" s="13">
        <v>1</v>
      </c>
      <c r="J128" s="13">
        <v>2</v>
      </c>
      <c r="K128" s="14" t="str">
        <f>HYPERLINK("http://twitter.com","Twitter Web Client")</f>
        <v>Twitter Web Client</v>
      </c>
      <c r="L128" s="13">
        <v>1773</v>
      </c>
      <c r="M128" s="13">
        <v>1728</v>
      </c>
      <c r="N128" s="13">
        <v>17</v>
      </c>
      <c r="O128" s="15"/>
      <c r="P128" s="6">
        <v>41557.977951388893</v>
      </c>
      <c r="Q128" s="11"/>
      <c r="R128" s="19" t="s">
        <v>1038</v>
      </c>
      <c r="S128" s="11"/>
      <c r="T128" s="11"/>
      <c r="U128" s="10" t="str">
        <f>HYPERLINK("https://pbs.twimg.com/profile_images/759522400837009408/1DH1G-nX.jpg","View")</f>
        <v>View</v>
      </c>
    </row>
    <row r="129" spans="1:21" ht="51">
      <c r="A129" s="6">
        <v>43442.628645833334</v>
      </c>
      <c r="B129" s="7" t="str">
        <f>HYPERLINK("https://twitter.com/kike1977pelu","@kike1977pelu")</f>
        <v>@kike1977pelu</v>
      </c>
      <c r="C129" s="8" t="s">
        <v>1041</v>
      </c>
      <c r="D129" s="9" t="s">
        <v>1042</v>
      </c>
      <c r="E129" s="10" t="str">
        <f>HYPERLINK("https://twitter.com/kike1977pelu/status/1071405349566144512","1071405349566144512")</f>
        <v>1071405349566144512</v>
      </c>
      <c r="F129" s="12" t="s">
        <v>1043</v>
      </c>
      <c r="G129" s="11"/>
      <c r="H129" s="11"/>
      <c r="I129" s="13">
        <v>0</v>
      </c>
      <c r="J129" s="13">
        <v>1</v>
      </c>
      <c r="K129" s="14" t="str">
        <f>HYPERLINK("http://twitter.com/download/android","Twitter for Android")</f>
        <v>Twitter for Android</v>
      </c>
      <c r="L129" s="13">
        <v>316</v>
      </c>
      <c r="M129" s="13">
        <v>287</v>
      </c>
      <c r="N129" s="13">
        <v>0</v>
      </c>
      <c r="O129" s="15"/>
      <c r="P129" s="6">
        <v>40557.452650462961</v>
      </c>
      <c r="Q129" s="11"/>
      <c r="R129" s="19" t="s">
        <v>1046</v>
      </c>
      <c r="S129" s="11"/>
      <c r="T129" s="11"/>
      <c r="U129" s="10" t="str">
        <f>HYPERLINK("https://pbs.twimg.com/profile_images/1047685101570723841/wghlh0hj.jpg","View")</f>
        <v>View</v>
      </c>
    </row>
    <row r="130" spans="1:21" ht="20.399999999999999">
      <c r="A130" s="6">
        <v>43442.627962962964</v>
      </c>
      <c r="B130" s="7" t="str">
        <f>HYPERLINK("https://twitter.com/Moresu","@Moresu")</f>
        <v>@Moresu</v>
      </c>
      <c r="C130" s="8" t="s">
        <v>1049</v>
      </c>
      <c r="D130" s="9" t="s">
        <v>1050</v>
      </c>
      <c r="E130" s="10" t="str">
        <f>HYPERLINK("https://twitter.com/Moresu/status/1071405100701282304","1071405100701282304")</f>
        <v>1071405100701282304</v>
      </c>
      <c r="F130" s="12" t="s">
        <v>1051</v>
      </c>
      <c r="G130" s="11"/>
      <c r="H130" s="11"/>
      <c r="I130" s="13">
        <v>1</v>
      </c>
      <c r="J130" s="13">
        <v>0</v>
      </c>
      <c r="K130" s="14" t="str">
        <f>HYPERLINK("http://twitter.com/#!/download/ipad","Twitter for iPad")</f>
        <v>Twitter for iPad</v>
      </c>
      <c r="L130" s="13">
        <v>27195</v>
      </c>
      <c r="M130" s="13">
        <v>2534</v>
      </c>
      <c r="N130" s="13">
        <v>131</v>
      </c>
      <c r="O130" s="15"/>
      <c r="P130" s="6">
        <v>40143.88118055556</v>
      </c>
      <c r="Q130" s="18" t="s">
        <v>1054</v>
      </c>
      <c r="R130" s="19" t="s">
        <v>1055</v>
      </c>
      <c r="S130" s="11"/>
      <c r="T130" s="11"/>
      <c r="U130" s="10" t="str">
        <f>HYPERLINK("https://pbs.twimg.com/profile_images/707886377577422848/WYaTkIpd.jpg","View")</f>
        <v>View</v>
      </c>
    </row>
    <row r="131" spans="1:21" ht="40.799999999999997">
      <c r="A131" s="6">
        <v>43442.627824074079</v>
      </c>
      <c r="B131" s="7" t="str">
        <f>HYPERLINK("https://twitter.com/TITOBENET","@TITOBENET")</f>
        <v>@TITOBENET</v>
      </c>
      <c r="C131" s="8" t="s">
        <v>1057</v>
      </c>
      <c r="D131" s="9" t="s">
        <v>285</v>
      </c>
      <c r="E131" s="10" t="str">
        <f>HYPERLINK("https://twitter.com/TITOBENET/status/1071405050252156929","1071405050252156929")</f>
        <v>1071405050252156929</v>
      </c>
      <c r="F131" s="12" t="s">
        <v>290</v>
      </c>
      <c r="G131" s="11"/>
      <c r="H131" s="11"/>
      <c r="I131" s="13">
        <v>0</v>
      </c>
      <c r="J131" s="13">
        <v>0</v>
      </c>
      <c r="K131" s="14" t="str">
        <f t="shared" ref="K131:K132" si="24">HYPERLINK("http://twitter.com/download/android","Twitter for Android")</f>
        <v>Twitter for Android</v>
      </c>
      <c r="L131" s="13">
        <v>268</v>
      </c>
      <c r="M131" s="13">
        <v>1161</v>
      </c>
      <c r="N131" s="13">
        <v>10</v>
      </c>
      <c r="O131" s="15"/>
      <c r="P131" s="6">
        <v>40381.63899305556</v>
      </c>
      <c r="Q131" s="18" t="s">
        <v>1062</v>
      </c>
      <c r="R131" s="19" t="s">
        <v>1063</v>
      </c>
      <c r="S131" s="11"/>
      <c r="T131" s="11"/>
      <c r="U131" s="10" t="str">
        <f>HYPERLINK("https://pbs.twimg.com/profile_images/869277256874635264/qtOHCfCm.jpg","View")</f>
        <v>View</v>
      </c>
    </row>
    <row r="132" spans="1:21" ht="30.6">
      <c r="A132" s="6">
        <v>43442.627523148149</v>
      </c>
      <c r="B132" s="7" t="str">
        <f>HYPERLINK("https://twitter.com/EduJRobles","@EduJRobles")</f>
        <v>@EduJRobles</v>
      </c>
      <c r="C132" s="8" t="s">
        <v>218</v>
      </c>
      <c r="D132" s="9" t="s">
        <v>220</v>
      </c>
      <c r="E132" s="10" t="str">
        <f>HYPERLINK("https://twitter.com/EduJRobles/status/1071404942697660416","1071404942697660416")</f>
        <v>1071404942697660416</v>
      </c>
      <c r="F132" s="18" t="s">
        <v>221</v>
      </c>
      <c r="G132" s="11"/>
      <c r="H132" s="11"/>
      <c r="I132" s="13">
        <v>1</v>
      </c>
      <c r="J132" s="13">
        <v>0</v>
      </c>
      <c r="K132" s="14" t="str">
        <f t="shared" si="24"/>
        <v>Twitter for Android</v>
      </c>
      <c r="L132" s="13">
        <v>2101</v>
      </c>
      <c r="M132" s="13">
        <v>156</v>
      </c>
      <c r="N132" s="13">
        <v>34</v>
      </c>
      <c r="O132" s="15"/>
      <c r="P132" s="6">
        <v>41484.599675925929</v>
      </c>
      <c r="Q132" s="18" t="s">
        <v>224</v>
      </c>
      <c r="R132" s="19" t="s">
        <v>225</v>
      </c>
      <c r="S132" s="11"/>
      <c r="T132" s="11"/>
      <c r="U132" s="10" t="str">
        <f>HYPERLINK("https://pbs.twimg.com/profile_images/1068607563191803904/rK6ykMHr.jpg","View")</f>
        <v>View</v>
      </c>
    </row>
    <row r="133" spans="1:21" ht="40.799999999999997">
      <c r="A133" s="6">
        <v>43442.627488425926</v>
      </c>
      <c r="B133" s="7" t="str">
        <f>HYPERLINK("https://twitter.com/rafamartinezpue","@rafamartinezpue")</f>
        <v>@rafamartinezpue</v>
      </c>
      <c r="C133" s="8" t="s">
        <v>1069</v>
      </c>
      <c r="D133" s="9" t="s">
        <v>1070</v>
      </c>
      <c r="E133" s="10" t="str">
        <f>HYPERLINK("https://twitter.com/rafamartinezpue/status/1071404930508996610","1071404930508996610")</f>
        <v>1071404930508996610</v>
      </c>
      <c r="F133" s="12" t="s">
        <v>1072</v>
      </c>
      <c r="G133" s="11"/>
      <c r="H133" s="11"/>
      <c r="I133" s="13">
        <v>0</v>
      </c>
      <c r="J133" s="13">
        <v>0</v>
      </c>
      <c r="K133" s="14" t="str">
        <f>HYPERLINK("http://twitter.com","Twitter Web Client")</f>
        <v>Twitter Web Client</v>
      </c>
      <c r="L133" s="13">
        <v>188</v>
      </c>
      <c r="M133" s="13">
        <v>850</v>
      </c>
      <c r="N133" s="13">
        <v>1</v>
      </c>
      <c r="O133" s="15"/>
      <c r="P133" s="6">
        <v>42667.22555555556</v>
      </c>
      <c r="Q133" s="11"/>
      <c r="R133" s="19" t="s">
        <v>1075</v>
      </c>
      <c r="S133" s="11"/>
      <c r="T133" s="11"/>
      <c r="U133" s="10" t="str">
        <f>HYPERLINK("https://pbs.twimg.com/profile_images/1071071443838996482/QvRKgp1n.jpg","View")</f>
        <v>View</v>
      </c>
    </row>
    <row r="134" spans="1:21" ht="30.6">
      <c r="A134" s="6">
        <v>43442.627141203702</v>
      </c>
      <c r="B134" s="7" t="str">
        <f>HYPERLINK("https://twitter.com/NombredeIsrael","@NombredeIsrael")</f>
        <v>@NombredeIsrael</v>
      </c>
      <c r="C134" s="8" t="s">
        <v>1079</v>
      </c>
      <c r="D134" s="9" t="s">
        <v>1080</v>
      </c>
      <c r="E134" s="10" t="str">
        <f>HYPERLINK("https://twitter.com/NombredeIsrael/status/1071404801504800769","1071404801504800769")</f>
        <v>1071404801504800769</v>
      </c>
      <c r="F134" s="12" t="s">
        <v>146</v>
      </c>
      <c r="G134" s="11"/>
      <c r="H134" s="11"/>
      <c r="I134" s="13">
        <v>1</v>
      </c>
      <c r="J134" s="13">
        <v>3</v>
      </c>
      <c r="K134" s="14" t="str">
        <f>HYPERLINK("http://twitter.com/download/android","Twitter for Android")</f>
        <v>Twitter for Android</v>
      </c>
      <c r="L134" s="13">
        <v>2480</v>
      </c>
      <c r="M134" s="13">
        <v>1640</v>
      </c>
      <c r="N134" s="13">
        <v>19</v>
      </c>
      <c r="O134" s="15"/>
      <c r="P134" s="6">
        <v>41395.975937499999</v>
      </c>
      <c r="Q134" s="18" t="s">
        <v>100</v>
      </c>
      <c r="R134" s="19" t="s">
        <v>1083</v>
      </c>
      <c r="S134" s="12" t="s">
        <v>1084</v>
      </c>
      <c r="T134" s="11"/>
      <c r="U134" s="10" t="str">
        <f>HYPERLINK("https://pbs.twimg.com/profile_images/1026410537469571072/NZo75dZV.jpg","View")</f>
        <v>View</v>
      </c>
    </row>
    <row r="135" spans="1:21" ht="40.799999999999997">
      <c r="A135" s="6">
        <v>43442.625844907408</v>
      </c>
      <c r="B135" s="7" t="str">
        <f>HYPERLINK("https://twitter.com/Pablo_Salias","@Pablo_Salias")</f>
        <v>@Pablo_Salias</v>
      </c>
      <c r="C135" s="8" t="s">
        <v>1088</v>
      </c>
      <c r="D135" s="9" t="s">
        <v>1089</v>
      </c>
      <c r="E135" s="10" t="str">
        <f>HYPERLINK("https://twitter.com/Pablo_Salias/status/1071404333630025729","1071404333630025729")</f>
        <v>1071404333630025729</v>
      </c>
      <c r="F135" s="12" t="s">
        <v>1090</v>
      </c>
      <c r="G135" s="11"/>
      <c r="H135" s="11"/>
      <c r="I135" s="13">
        <v>0</v>
      </c>
      <c r="J135" s="13">
        <v>0</v>
      </c>
      <c r="K135" s="14" t="str">
        <f>HYPERLINK("http://twitter.com","Twitter Web Client")</f>
        <v>Twitter Web Client</v>
      </c>
      <c r="L135" s="13">
        <v>1150</v>
      </c>
      <c r="M135" s="13">
        <v>1122</v>
      </c>
      <c r="N135" s="13">
        <v>13</v>
      </c>
      <c r="O135" s="15"/>
      <c r="P135" s="6">
        <v>40348.001689814817</v>
      </c>
      <c r="Q135" s="18" t="s">
        <v>42</v>
      </c>
      <c r="R135" s="19" t="s">
        <v>1091</v>
      </c>
      <c r="S135" s="11"/>
      <c r="T135" s="11"/>
      <c r="U135" s="10" t="str">
        <f>HYPERLINK("https://pbs.twimg.com/profile_images/1008514819236872193/b63feMMO.jpg","View")</f>
        <v>View</v>
      </c>
    </row>
    <row r="136" spans="1:21" ht="40.799999999999997">
      <c r="A136" s="6">
        <v>43442.625462962962</v>
      </c>
      <c r="B136" s="7" t="str">
        <f>HYPERLINK("https://twitter.com/pelirroja003","@pelirroja003")</f>
        <v>@pelirroja003</v>
      </c>
      <c r="C136" s="8" t="s">
        <v>228</v>
      </c>
      <c r="D136" s="9" t="s">
        <v>229</v>
      </c>
      <c r="E136" s="10" t="str">
        <f>HYPERLINK("https://twitter.com/pelirroja003/status/1071404196686151681","1071404196686151681")</f>
        <v>1071404196686151681</v>
      </c>
      <c r="F136" s="12" t="s">
        <v>232</v>
      </c>
      <c r="G136" s="12" t="s">
        <v>233</v>
      </c>
      <c r="H136" s="11"/>
      <c r="I136" s="13">
        <v>0</v>
      </c>
      <c r="J136" s="13">
        <v>0</v>
      </c>
      <c r="K136" s="14" t="str">
        <f>HYPERLINK("https://mobile.twitter.com","Twitter Lite")</f>
        <v>Twitter Lite</v>
      </c>
      <c r="L136" s="13">
        <v>279</v>
      </c>
      <c r="M136" s="13">
        <v>80</v>
      </c>
      <c r="N136" s="13">
        <v>1</v>
      </c>
      <c r="O136" s="15"/>
      <c r="P136" s="6">
        <v>42642.873171296298</v>
      </c>
      <c r="Q136" s="18" t="s">
        <v>236</v>
      </c>
      <c r="R136" s="19" t="s">
        <v>237</v>
      </c>
      <c r="S136" s="11"/>
      <c r="T136" s="11"/>
      <c r="U136" s="10" t="str">
        <f>HYPERLINK("https://pbs.twimg.com/profile_images/809953082809389056/iNGNmGs8.jpg","View")</f>
        <v>View</v>
      </c>
    </row>
    <row r="137" spans="1:21" ht="20.399999999999999">
      <c r="A137" s="6">
        <v>43442.623414351852</v>
      </c>
      <c r="B137" s="7" t="str">
        <f>HYPERLINK("https://twitter.com/iamanavigator","@iamanavigator")</f>
        <v>@iamanavigator</v>
      </c>
      <c r="C137" s="8" t="s">
        <v>1033</v>
      </c>
      <c r="D137" s="9" t="s">
        <v>1094</v>
      </c>
      <c r="E137" s="10" t="str">
        <f>HYPERLINK("https://twitter.com/iamanavigator/status/1071403454218821632","1071403454218821632")</f>
        <v>1071403454218821632</v>
      </c>
      <c r="F137" s="12" t="s">
        <v>149</v>
      </c>
      <c r="G137" s="11"/>
      <c r="H137" s="11"/>
      <c r="I137" s="13">
        <v>0</v>
      </c>
      <c r="J137" s="13">
        <v>0</v>
      </c>
      <c r="K137" s="14" t="str">
        <f t="shared" ref="K137:K138" si="25">HYPERLINK("http://twitter.com","Twitter Web Client")</f>
        <v>Twitter Web Client</v>
      </c>
      <c r="L137" s="13">
        <v>1773</v>
      </c>
      <c r="M137" s="13">
        <v>1728</v>
      </c>
      <c r="N137" s="13">
        <v>17</v>
      </c>
      <c r="O137" s="15"/>
      <c r="P137" s="6">
        <v>41557.977951388893</v>
      </c>
      <c r="Q137" s="11"/>
      <c r="R137" s="19" t="s">
        <v>1038</v>
      </c>
      <c r="S137" s="11"/>
      <c r="T137" s="11"/>
      <c r="U137" s="10" t="str">
        <f>HYPERLINK("https://pbs.twimg.com/profile_images/759522400837009408/1DH1G-nX.jpg","View")</f>
        <v>View</v>
      </c>
    </row>
    <row r="138" spans="1:21" ht="20.399999999999999">
      <c r="A138" s="6">
        <v>43442.623287037037</v>
      </c>
      <c r="B138" s="7" t="str">
        <f>HYPERLINK("https://twitter.com/devisvicent","@devisvicent")</f>
        <v>@devisvicent</v>
      </c>
      <c r="C138" s="8" t="s">
        <v>1096</v>
      </c>
      <c r="D138" s="9" t="s">
        <v>1097</v>
      </c>
      <c r="E138" s="10" t="str">
        <f>HYPERLINK("https://twitter.com/devisvicent/status/1071403405166432256","1071403405166432256")</f>
        <v>1071403405166432256</v>
      </c>
      <c r="F138" s="12" t="s">
        <v>49</v>
      </c>
      <c r="G138" s="11"/>
      <c r="H138" s="11"/>
      <c r="I138" s="13">
        <v>0</v>
      </c>
      <c r="J138" s="13">
        <v>0</v>
      </c>
      <c r="K138" s="14" t="str">
        <f t="shared" si="25"/>
        <v>Twitter Web Client</v>
      </c>
      <c r="L138" s="13">
        <v>2249</v>
      </c>
      <c r="M138" s="13">
        <v>2182</v>
      </c>
      <c r="N138" s="13">
        <v>47</v>
      </c>
      <c r="O138" s="15"/>
      <c r="P138" s="6">
        <v>41574.846134259264</v>
      </c>
      <c r="Q138" s="18" t="s">
        <v>1100</v>
      </c>
      <c r="R138" s="19" t="s">
        <v>1101</v>
      </c>
      <c r="S138" s="11"/>
      <c r="T138" s="11"/>
      <c r="U138" s="10" t="str">
        <f>HYPERLINK("https://pbs.twimg.com/profile_images/378800000855976276/39345e56862ef24d32eea7e5cc2caf43.jpeg","View")</f>
        <v>View</v>
      </c>
    </row>
    <row r="139" spans="1:21" ht="61.2">
      <c r="A139" s="6">
        <v>43442.622731481482</v>
      </c>
      <c r="B139" s="7" t="str">
        <f>HYPERLINK("https://twitter.com/oyd_y","@oyd_y")</f>
        <v>@oyd_y</v>
      </c>
      <c r="C139" s="8" t="s">
        <v>241</v>
      </c>
      <c r="D139" s="9" t="s">
        <v>242</v>
      </c>
      <c r="E139" s="10" t="str">
        <f>HYPERLINK("https://twitter.com/oyd_y/status/1071403205190451200","1071403205190451200")</f>
        <v>1071403205190451200</v>
      </c>
      <c r="F139" s="18" t="s">
        <v>244</v>
      </c>
      <c r="G139" s="12" t="s">
        <v>245</v>
      </c>
      <c r="H139" s="11"/>
      <c r="I139" s="13">
        <v>0</v>
      </c>
      <c r="J139" s="13">
        <v>0</v>
      </c>
      <c r="K139" s="14" t="str">
        <f>HYPERLINK("http://twitter.com/#!/download/ipad","Twitter for iPad")</f>
        <v>Twitter for iPad</v>
      </c>
      <c r="L139" s="13">
        <v>216</v>
      </c>
      <c r="M139" s="13">
        <v>466</v>
      </c>
      <c r="N139" s="13">
        <v>5</v>
      </c>
      <c r="O139" s="15"/>
      <c r="P139" s="6">
        <v>42931.705555555556</v>
      </c>
      <c r="Q139" s="18" t="s">
        <v>26</v>
      </c>
      <c r="R139" s="19" t="s">
        <v>247</v>
      </c>
      <c r="S139" s="12" t="s">
        <v>248</v>
      </c>
      <c r="T139" s="11"/>
      <c r="U139" s="10" t="str">
        <f>HYPERLINK("https://pbs.twimg.com/profile_images/990230336578695168/fZqhg4_G.jpg","View")</f>
        <v>View</v>
      </c>
    </row>
    <row r="140" spans="1:21" ht="102">
      <c r="A140" s="6">
        <v>43442.622291666667</v>
      </c>
      <c r="B140" s="7" t="str">
        <f>HYPERLINK("https://twitter.com/DonCarlos_GR","@DonCarlos_GR")</f>
        <v>@DonCarlos_GR</v>
      </c>
      <c r="C140" s="8" t="s">
        <v>252</v>
      </c>
      <c r="D140" s="9" t="s">
        <v>253</v>
      </c>
      <c r="E140" s="10" t="str">
        <f>HYPERLINK("https://twitter.com/DonCarlos_GR/status/1071403046306017280","1071403046306017280")</f>
        <v>1071403046306017280</v>
      </c>
      <c r="F140" s="12" t="s">
        <v>255</v>
      </c>
      <c r="G140" s="12" t="s">
        <v>258</v>
      </c>
      <c r="H140" s="11"/>
      <c r="I140" s="13">
        <v>0</v>
      </c>
      <c r="J140" s="13">
        <v>0</v>
      </c>
      <c r="K140" s="14" t="str">
        <f>HYPERLINK("http://twitter.com/download/android","Twitter for Android")</f>
        <v>Twitter for Android</v>
      </c>
      <c r="L140" s="13">
        <v>154</v>
      </c>
      <c r="M140" s="13">
        <v>364</v>
      </c>
      <c r="N140" s="13">
        <v>5</v>
      </c>
      <c r="O140" s="15"/>
      <c r="P140" s="6">
        <v>42318.855868055558</v>
      </c>
      <c r="Q140" s="18" t="s">
        <v>41</v>
      </c>
      <c r="R140" s="19" t="s">
        <v>259</v>
      </c>
      <c r="S140" s="11"/>
      <c r="T140" s="11"/>
      <c r="U140" s="10" t="str">
        <f>HYPERLINK("https://pbs.twimg.com/profile_images/979086367308304384/mqBM3Vv9.jpg","View")</f>
        <v>View</v>
      </c>
    </row>
    <row r="141" spans="1:21" ht="40.799999999999997">
      <c r="A141" s="6">
        <v>43442.621527777781</v>
      </c>
      <c r="B141" s="7" t="str">
        <f>HYPERLINK("https://twitter.com/Pablo_Salias","@Pablo_Salias")</f>
        <v>@Pablo_Salias</v>
      </c>
      <c r="C141" s="8" t="s">
        <v>1088</v>
      </c>
      <c r="D141" s="9" t="s">
        <v>1108</v>
      </c>
      <c r="E141" s="10" t="str">
        <f>HYPERLINK("https://twitter.com/Pablo_Salias/status/1071402770631077888","1071402770631077888")</f>
        <v>1071402770631077888</v>
      </c>
      <c r="F141" s="12" t="s">
        <v>1090</v>
      </c>
      <c r="G141" s="11"/>
      <c r="H141" s="11"/>
      <c r="I141" s="13">
        <v>0</v>
      </c>
      <c r="J141" s="13">
        <v>0</v>
      </c>
      <c r="K141" s="14" t="str">
        <f>HYPERLINK("http://twitter.com","Twitter Web Client")</f>
        <v>Twitter Web Client</v>
      </c>
      <c r="L141" s="13">
        <v>1150</v>
      </c>
      <c r="M141" s="13">
        <v>1122</v>
      </c>
      <c r="N141" s="13">
        <v>13</v>
      </c>
      <c r="O141" s="15"/>
      <c r="P141" s="6">
        <v>40348.001689814817</v>
      </c>
      <c r="Q141" s="18" t="s">
        <v>42</v>
      </c>
      <c r="R141" s="19" t="s">
        <v>1091</v>
      </c>
      <c r="S141" s="11"/>
      <c r="T141" s="11"/>
      <c r="U141" s="10" t="str">
        <f>HYPERLINK("https://pbs.twimg.com/profile_images/1008514819236872193/b63feMMO.jpg","View")</f>
        <v>View</v>
      </c>
    </row>
    <row r="142" spans="1:21" ht="91.8">
      <c r="A142" s="6">
        <v>43442.621504629627</v>
      </c>
      <c r="B142" s="7" t="str">
        <f>HYPERLINK("https://twitter.com/albasenve","@albasenve")</f>
        <v>@albasenve</v>
      </c>
      <c r="C142" s="8" t="s">
        <v>261</v>
      </c>
      <c r="D142" s="9" t="s">
        <v>262</v>
      </c>
      <c r="E142" s="10" t="str">
        <f>HYPERLINK("https://twitter.com/albasenve/status/1071402759029735425","1071402759029735425")</f>
        <v>1071402759029735425</v>
      </c>
      <c r="F142" s="12" t="s">
        <v>263</v>
      </c>
      <c r="G142" s="12" t="s">
        <v>264</v>
      </c>
      <c r="H142" s="11"/>
      <c r="I142" s="13">
        <v>1</v>
      </c>
      <c r="J142" s="13">
        <v>3</v>
      </c>
      <c r="K142" s="14" t="str">
        <f t="shared" ref="K142:K144" si="26">HYPERLINK("http://twitter.com/download/android","Twitter for Android")</f>
        <v>Twitter for Android</v>
      </c>
      <c r="L142" s="13">
        <v>2367</v>
      </c>
      <c r="M142" s="13">
        <v>3156</v>
      </c>
      <c r="N142" s="13">
        <v>20</v>
      </c>
      <c r="O142" s="15"/>
      <c r="P142" s="6">
        <v>42383.663761574076</v>
      </c>
      <c r="Q142" s="11"/>
      <c r="R142" s="19" t="s">
        <v>266</v>
      </c>
      <c r="S142" s="11"/>
      <c r="T142" s="11"/>
      <c r="U142" s="10" t="str">
        <f>HYPERLINK("https://pbs.twimg.com/profile_images/687654041116098560/dSXvXEJQ.jpg","View")</f>
        <v>View</v>
      </c>
    </row>
    <row r="143" spans="1:21" ht="20.399999999999999">
      <c r="A143" s="6">
        <v>43442.621018518519</v>
      </c>
      <c r="B143" s="7" t="str">
        <f>HYPERLINK("https://twitter.com/guilleC_J","@guilleC_J")</f>
        <v>@guilleC_J</v>
      </c>
      <c r="C143" s="8" t="s">
        <v>1114</v>
      </c>
      <c r="D143" s="9" t="s">
        <v>612</v>
      </c>
      <c r="E143" s="10" t="str">
        <f>HYPERLINK("https://twitter.com/guilleC_J/status/1071402584592793601","1071402584592793601")</f>
        <v>1071402584592793601</v>
      </c>
      <c r="F143" s="12" t="s">
        <v>49</v>
      </c>
      <c r="G143" s="11"/>
      <c r="H143" s="11"/>
      <c r="I143" s="13">
        <v>0</v>
      </c>
      <c r="J143" s="13">
        <v>0</v>
      </c>
      <c r="K143" s="14" t="str">
        <f t="shared" si="26"/>
        <v>Twitter for Android</v>
      </c>
      <c r="L143" s="13">
        <v>523</v>
      </c>
      <c r="M143" s="13">
        <v>370</v>
      </c>
      <c r="N143" s="13">
        <v>67</v>
      </c>
      <c r="O143" s="15"/>
      <c r="P143" s="6">
        <v>41363.362546296295</v>
      </c>
      <c r="Q143" s="18" t="s">
        <v>1117</v>
      </c>
      <c r="R143" s="19" t="s">
        <v>1118</v>
      </c>
      <c r="S143" s="12" t="s">
        <v>1119</v>
      </c>
      <c r="T143" s="11"/>
      <c r="U143" s="10" t="str">
        <f>HYPERLINK("https://pbs.twimg.com/profile_images/1049206329615835136/vBM3ZCTW.jpg","View")</f>
        <v>View</v>
      </c>
    </row>
    <row r="144" spans="1:21" ht="40.799999999999997">
      <c r="A144" s="6">
        <v>43442.620833333334</v>
      </c>
      <c r="B144" s="7" t="str">
        <f>HYPERLINK("https://twitter.com/WhiteVikingo","@WhiteVikingo")</f>
        <v>@WhiteVikingo</v>
      </c>
      <c r="C144" s="8" t="s">
        <v>269</v>
      </c>
      <c r="D144" s="9" t="s">
        <v>270</v>
      </c>
      <c r="E144" s="10" t="str">
        <f>HYPERLINK("https://twitter.com/WhiteVikingo/status/1071402516150132737","1071402516150132737")</f>
        <v>1071402516150132737</v>
      </c>
      <c r="F144" s="11"/>
      <c r="G144" s="12" t="s">
        <v>274</v>
      </c>
      <c r="H144" s="11"/>
      <c r="I144" s="13">
        <v>0</v>
      </c>
      <c r="J144" s="13">
        <v>0</v>
      </c>
      <c r="K144" s="14" t="str">
        <f t="shared" si="26"/>
        <v>Twitter for Android</v>
      </c>
      <c r="L144" s="13">
        <v>496</v>
      </c>
      <c r="M144" s="13">
        <v>2472</v>
      </c>
      <c r="N144" s="13">
        <v>17</v>
      </c>
      <c r="O144" s="15"/>
      <c r="P144" s="6">
        <v>41859.101655092592</v>
      </c>
      <c r="Q144" s="18" t="s">
        <v>42</v>
      </c>
      <c r="R144" s="19" t="s">
        <v>275</v>
      </c>
      <c r="S144" s="11"/>
      <c r="T144" s="11"/>
      <c r="U144" s="10" t="str">
        <f>HYPERLINK("https://pbs.twimg.com/profile_images/497540815896338432/5CFsh7V3.jpeg","View")</f>
        <v>View</v>
      </c>
    </row>
    <row r="145" spans="1:21" ht="40.799999999999997">
      <c r="A145" s="6">
        <v>43442.620590277773</v>
      </c>
      <c r="B145" s="7" t="str">
        <f>HYPERLINK("https://twitter.com/pmanglano","@pmanglano")</f>
        <v>@pmanglano</v>
      </c>
      <c r="C145" s="8" t="s">
        <v>1122</v>
      </c>
      <c r="D145" s="9" t="s">
        <v>1123</v>
      </c>
      <c r="E145" s="10" t="str">
        <f>HYPERLINK("https://twitter.com/pmanglano/status/1071402428749225985","1071402428749225985")</f>
        <v>1071402428749225985</v>
      </c>
      <c r="F145" s="11"/>
      <c r="G145" s="11"/>
      <c r="H145" s="11"/>
      <c r="I145" s="13">
        <v>105</v>
      </c>
      <c r="J145" s="13">
        <v>169</v>
      </c>
      <c r="K145" s="14" t="str">
        <f>HYPERLINK("http://twitter.com/download/iphone","Twitter for iPhone")</f>
        <v>Twitter for iPhone</v>
      </c>
      <c r="L145" s="13">
        <v>28918</v>
      </c>
      <c r="M145" s="13">
        <v>1271</v>
      </c>
      <c r="N145" s="13">
        <v>564</v>
      </c>
      <c r="O145" s="15"/>
      <c r="P145" s="6">
        <v>40571.648715277777</v>
      </c>
      <c r="Q145" s="18" t="s">
        <v>41</v>
      </c>
      <c r="R145" s="19" t="s">
        <v>1125</v>
      </c>
      <c r="S145" s="11"/>
      <c r="T145" s="11"/>
      <c r="U145" s="10" t="str">
        <f>HYPERLINK("https://pbs.twimg.com/profile_images/3215118091/d88fbb5df45b9a161b857e0a71830a4b.png","View")</f>
        <v>View</v>
      </c>
    </row>
    <row r="146" spans="1:21" ht="13.2">
      <c r="A146" s="6">
        <v>43442.620497685188</v>
      </c>
      <c r="B146" s="7" t="str">
        <f>HYPERLINK("https://twitter.com/rucKis59","@rucKis59")</f>
        <v>@rucKis59</v>
      </c>
      <c r="C146" s="8" t="s">
        <v>1126</v>
      </c>
      <c r="D146" s="9" t="s">
        <v>612</v>
      </c>
      <c r="E146" s="10" t="str">
        <f>HYPERLINK("https://twitter.com/rucKis59/status/1071402397757521920","1071402397757521920")</f>
        <v>1071402397757521920</v>
      </c>
      <c r="F146" s="12" t="s">
        <v>49</v>
      </c>
      <c r="G146" s="11"/>
      <c r="H146" s="11"/>
      <c r="I146" s="13">
        <v>0</v>
      </c>
      <c r="J146" s="13">
        <v>0</v>
      </c>
      <c r="K146" s="14" t="str">
        <f>HYPERLINK("http://twitter.com/download/android","Twitter for Android")</f>
        <v>Twitter for Android</v>
      </c>
      <c r="L146" s="13">
        <v>252</v>
      </c>
      <c r="M146" s="13">
        <v>994</v>
      </c>
      <c r="N146" s="13">
        <v>4</v>
      </c>
      <c r="O146" s="15"/>
      <c r="P146" s="6">
        <v>41073.922581018516</v>
      </c>
      <c r="Q146" s="18" t="s">
        <v>307</v>
      </c>
      <c r="R146" s="19" t="s">
        <v>1127</v>
      </c>
      <c r="S146" s="11"/>
      <c r="T146" s="11"/>
      <c r="U146" s="10" t="str">
        <f>HYPERLINK("https://pbs.twimg.com/profile_images/927926510748688384/yJp62QT8.jpg","View")</f>
        <v>View</v>
      </c>
    </row>
    <row r="147" spans="1:21" ht="51">
      <c r="A147" s="6">
        <v>43442.619687500002</v>
      </c>
      <c r="B147" s="7" t="str">
        <f>HYPERLINK("https://twitter.com/SL_Brandoni","@SL_Brandoni")</f>
        <v>@SL_Brandoni</v>
      </c>
      <c r="C147" s="8" t="s">
        <v>281</v>
      </c>
      <c r="D147" s="9" t="s">
        <v>282</v>
      </c>
      <c r="E147" s="10" t="str">
        <f>HYPERLINK("https://twitter.com/SL_Brandoni/status/1071402102587604994","1071402102587604994")</f>
        <v>1071402102587604994</v>
      </c>
      <c r="F147" s="11"/>
      <c r="G147" s="11"/>
      <c r="H147" s="11"/>
      <c r="I147" s="13">
        <v>0</v>
      </c>
      <c r="J147" s="13">
        <v>0</v>
      </c>
      <c r="K147" s="14" t="str">
        <f>HYPERLINK("https://mobile.twitter.com","Twitter Lite")</f>
        <v>Twitter Lite</v>
      </c>
      <c r="L147" s="13">
        <v>132</v>
      </c>
      <c r="M147" s="13">
        <v>113</v>
      </c>
      <c r="N147" s="13">
        <v>1</v>
      </c>
      <c r="O147" s="15"/>
      <c r="P147" s="6">
        <v>42988.398043981477</v>
      </c>
      <c r="Q147" s="18" t="s">
        <v>286</v>
      </c>
      <c r="R147" s="19" t="s">
        <v>287</v>
      </c>
      <c r="S147" s="12" t="s">
        <v>288</v>
      </c>
      <c r="T147" s="11"/>
      <c r="U147" s="10" t="str">
        <f>HYPERLINK("https://pbs.twimg.com/profile_images/946756164171247616/DPQzga7u.jpg","View")</f>
        <v>View</v>
      </c>
    </row>
    <row r="148" spans="1:21" ht="40.799999999999997">
      <c r="A148" s="6">
        <v>43442.619456018518</v>
      </c>
      <c r="B148" s="7" t="str">
        <f>HYPERLINK("https://twitter.com/israelico","@israelico")</f>
        <v>@israelico</v>
      </c>
      <c r="C148" s="8" t="s">
        <v>293</v>
      </c>
      <c r="D148" s="9" t="s">
        <v>294</v>
      </c>
      <c r="E148" s="10" t="str">
        <f>HYPERLINK("https://twitter.com/israelico/status/1071402018294648832","1071402018294648832")</f>
        <v>1071402018294648832</v>
      </c>
      <c r="F148" s="11"/>
      <c r="G148" s="12" t="s">
        <v>295</v>
      </c>
      <c r="H148" s="11"/>
      <c r="I148" s="13">
        <v>1</v>
      </c>
      <c r="J148" s="13">
        <v>5</v>
      </c>
      <c r="K148" s="14" t="str">
        <f>HYPERLINK("http://twitter.com/download/iphone","Twitter for iPhone")</f>
        <v>Twitter for iPhone</v>
      </c>
      <c r="L148" s="13">
        <v>2587</v>
      </c>
      <c r="M148" s="13">
        <v>948</v>
      </c>
      <c r="N148" s="13">
        <v>62</v>
      </c>
      <c r="O148" s="15"/>
      <c r="P148" s="6">
        <v>40395.77003472222</v>
      </c>
      <c r="Q148" s="18" t="s">
        <v>299</v>
      </c>
      <c r="R148" s="19" t="s">
        <v>300</v>
      </c>
      <c r="S148" s="12" t="s">
        <v>301</v>
      </c>
      <c r="T148" s="11"/>
      <c r="U148" s="10" t="str">
        <f>HYPERLINK("https://pbs.twimg.com/profile_images/1063559222133174272/PhNHBll3.jpg","View")</f>
        <v>View</v>
      </c>
    </row>
    <row r="149" spans="1:21" ht="91.8">
      <c r="A149" s="6">
        <v>43442.618611111116</v>
      </c>
      <c r="B149" s="7" t="str">
        <f>HYPERLINK("https://twitter.com/aliadofeminazi","@aliadofeminazi")</f>
        <v>@aliadofeminazi</v>
      </c>
      <c r="C149" s="8" t="s">
        <v>304</v>
      </c>
      <c r="D149" s="9" t="s">
        <v>305</v>
      </c>
      <c r="E149" s="10" t="str">
        <f>HYPERLINK("https://twitter.com/aliadofeminazi/status/1071401713616211968","1071401713616211968")</f>
        <v>1071401713616211968</v>
      </c>
      <c r="F149" s="12" t="s">
        <v>306</v>
      </c>
      <c r="G149" s="11"/>
      <c r="H149" s="11"/>
      <c r="I149" s="13">
        <v>0</v>
      </c>
      <c r="J149" s="13">
        <v>0</v>
      </c>
      <c r="K149" s="14" t="str">
        <f>HYPERLINK("http://twitter.com/download/android","Twitter for Android")</f>
        <v>Twitter for Android</v>
      </c>
      <c r="L149" s="13">
        <v>395</v>
      </c>
      <c r="M149" s="13">
        <v>174</v>
      </c>
      <c r="N149" s="13">
        <v>2</v>
      </c>
      <c r="O149" s="15"/>
      <c r="P149" s="6">
        <v>43257.827939814815</v>
      </c>
      <c r="Q149" s="18" t="s">
        <v>308</v>
      </c>
      <c r="R149" s="19" t="s">
        <v>309</v>
      </c>
      <c r="S149" s="11"/>
      <c r="T149" s="11"/>
      <c r="U149" s="10" t="str">
        <f>HYPERLINK("https://pbs.twimg.com/profile_images/1011956942619774976/ljuy3Xma.jpg","View")</f>
        <v>View</v>
      </c>
    </row>
    <row r="150" spans="1:21" ht="51">
      <c r="A150" s="6">
        <v>43442.618252314816</v>
      </c>
      <c r="B150" s="7" t="str">
        <f>HYPERLINK("https://twitter.com/granota0402","@granota0402")</f>
        <v>@granota0402</v>
      </c>
      <c r="C150" s="8" t="s">
        <v>1139</v>
      </c>
      <c r="D150" s="9" t="s">
        <v>1140</v>
      </c>
      <c r="E150" s="10" t="str">
        <f>HYPERLINK("https://twitter.com/granota0402/status/1071401580640038912","1071401580640038912")</f>
        <v>1071401580640038912</v>
      </c>
      <c r="F150" s="12" t="s">
        <v>290</v>
      </c>
      <c r="G150" s="11"/>
      <c r="H150" s="11"/>
      <c r="I150" s="13">
        <v>0</v>
      </c>
      <c r="J150" s="13">
        <v>0</v>
      </c>
      <c r="K150" s="14" t="str">
        <f>HYPERLINK("http://twitter.com","Twitter Web Client")</f>
        <v>Twitter Web Client</v>
      </c>
      <c r="L150" s="13">
        <v>132</v>
      </c>
      <c r="M150" s="13">
        <v>666</v>
      </c>
      <c r="N150" s="13">
        <v>0</v>
      </c>
      <c r="O150" s="15"/>
      <c r="P150" s="6">
        <v>42389.153969907406</v>
      </c>
      <c r="Q150" s="18" t="s">
        <v>1147</v>
      </c>
      <c r="R150" s="19" t="s">
        <v>1148</v>
      </c>
      <c r="S150" s="11"/>
      <c r="T150" s="11"/>
      <c r="U150" s="10" t="str">
        <f>HYPERLINK("https://pbs.twimg.com/profile_images/709856919025008644/lfKtdXsf.jpg","View")</f>
        <v>View</v>
      </c>
    </row>
    <row r="151" spans="1:21" ht="40.799999999999997">
      <c r="A151" s="6">
        <v>43442.617997685185</v>
      </c>
      <c r="B151" s="7" t="str">
        <f>HYPERLINK("https://twitter.com/hernandezaznar","@hernandezaznar")</f>
        <v>@hernandezaznar</v>
      </c>
      <c r="C151" s="8" t="s">
        <v>1151</v>
      </c>
      <c r="D151" s="9" t="s">
        <v>1152</v>
      </c>
      <c r="E151" s="10" t="str">
        <f>HYPERLINK("https://twitter.com/hernandezaznar/status/1071401487757176833","1071401487757176833")</f>
        <v>1071401487757176833</v>
      </c>
      <c r="F151" s="12" t="s">
        <v>1154</v>
      </c>
      <c r="G151" s="11"/>
      <c r="H151" s="11"/>
      <c r="I151" s="13">
        <v>0</v>
      </c>
      <c r="J151" s="13">
        <v>0</v>
      </c>
      <c r="K151" s="14" t="str">
        <f>HYPERLINK("http://twitter.com/#!/download/ipad","Twitter for iPad")</f>
        <v>Twitter for iPad</v>
      </c>
      <c r="L151" s="13">
        <v>704</v>
      </c>
      <c r="M151" s="13">
        <v>616</v>
      </c>
      <c r="N151" s="13">
        <v>21</v>
      </c>
      <c r="O151" s="15"/>
      <c r="P151" s="6">
        <v>39756.933275462965</v>
      </c>
      <c r="Q151" s="18" t="s">
        <v>1156</v>
      </c>
      <c r="R151" s="19" t="s">
        <v>1158</v>
      </c>
      <c r="S151" s="12" t="s">
        <v>1159</v>
      </c>
      <c r="T151" s="11"/>
      <c r="U151" s="10" t="str">
        <f>HYPERLINK("https://pbs.twimg.com/profile_images/1046808219140657152/CtBTWrgF.jpg","View")</f>
        <v>View</v>
      </c>
    </row>
    <row r="152" spans="1:21" ht="20.399999999999999">
      <c r="A152" s="6">
        <v>43442.615752314814</v>
      </c>
      <c r="B152" s="7" t="str">
        <f>HYPERLINK("https://twitter.com/misabel002","@misabel002")</f>
        <v>@misabel002</v>
      </c>
      <c r="C152" s="8" t="s">
        <v>1162</v>
      </c>
      <c r="D152" s="9" t="s">
        <v>859</v>
      </c>
      <c r="E152" s="10" t="str">
        <f>HYPERLINK("https://twitter.com/misabel002/status/1071400676708794368","1071400676708794368")</f>
        <v>1071400676708794368</v>
      </c>
      <c r="F152" s="12" t="s">
        <v>1164</v>
      </c>
      <c r="G152" s="11"/>
      <c r="H152" s="11"/>
      <c r="I152" s="13">
        <v>0</v>
      </c>
      <c r="J152" s="13">
        <v>0</v>
      </c>
      <c r="K152" s="14" t="str">
        <f>HYPERLINK("http://twitter.com","Twitter Web Client")</f>
        <v>Twitter Web Client</v>
      </c>
      <c r="L152" s="13">
        <v>334</v>
      </c>
      <c r="M152" s="13">
        <v>142</v>
      </c>
      <c r="N152" s="13">
        <v>29</v>
      </c>
      <c r="O152" s="15"/>
      <c r="P152" s="6">
        <v>41949.913726851853</v>
      </c>
      <c r="Q152" s="11"/>
      <c r="R152" s="17"/>
      <c r="S152" s="11"/>
      <c r="T152" s="11"/>
      <c r="U152" s="16" t="s">
        <v>191</v>
      </c>
    </row>
    <row r="153" spans="1:21" ht="20.399999999999999">
      <c r="A153" s="6">
        <v>43442.615254629629</v>
      </c>
      <c r="B153" s="7" t="str">
        <f>HYPERLINK("https://twitter.com/joabansmolava","@joabansmolava")</f>
        <v>@joabansmolava</v>
      </c>
      <c r="C153" s="8" t="s">
        <v>1171</v>
      </c>
      <c r="D153" s="9" t="s">
        <v>1172</v>
      </c>
      <c r="E153" s="10" t="str">
        <f>HYPERLINK("https://twitter.com/joabansmolava/status/1071400494562770946","1071400494562770946")</f>
        <v>1071400494562770946</v>
      </c>
      <c r="F153" s="12" t="s">
        <v>1015</v>
      </c>
      <c r="G153" s="11"/>
      <c r="H153" s="11"/>
      <c r="I153" s="13">
        <v>0</v>
      </c>
      <c r="J153" s="13">
        <v>0</v>
      </c>
      <c r="K153" s="14" t="str">
        <f>HYPERLINK("http://twitter.com/download/android","Twitter for Android")</f>
        <v>Twitter for Android</v>
      </c>
      <c r="L153" s="13">
        <v>538</v>
      </c>
      <c r="M153" s="13">
        <v>539</v>
      </c>
      <c r="N153" s="13">
        <v>6</v>
      </c>
      <c r="O153" s="15"/>
      <c r="P153" s="6">
        <v>41796.883564814816</v>
      </c>
      <c r="Q153" s="18" t="s">
        <v>1100</v>
      </c>
      <c r="R153" s="19" t="s">
        <v>1175</v>
      </c>
      <c r="S153" s="11"/>
      <c r="T153" s="11"/>
      <c r="U153" s="10" t="str">
        <f>HYPERLINK("https://pbs.twimg.com/profile_images/609239360203038720/RJWaJvCv.jpg","View")</f>
        <v>View</v>
      </c>
    </row>
    <row r="154" spans="1:21" ht="30.6">
      <c r="A154" s="6">
        <v>43442.613958333328</v>
      </c>
      <c r="B154" s="7" t="str">
        <f>HYPERLINK("https://twitter.com/miguelapre","@miguelapre")</f>
        <v>@miguelapre</v>
      </c>
      <c r="C154" s="8" t="s">
        <v>1179</v>
      </c>
      <c r="D154" s="9" t="s">
        <v>1152</v>
      </c>
      <c r="E154" s="10" t="str">
        <f>HYPERLINK("https://twitter.com/miguelapre/status/1071400024754544640","1071400024754544640")</f>
        <v>1071400024754544640</v>
      </c>
      <c r="F154" s="12" t="s">
        <v>1182</v>
      </c>
      <c r="G154" s="11"/>
      <c r="H154" s="11"/>
      <c r="I154" s="13">
        <v>0</v>
      </c>
      <c r="J154" s="13">
        <v>0</v>
      </c>
      <c r="K154" s="14" t="str">
        <f>HYPERLINK("http://twitter.com","Twitter Web Client")</f>
        <v>Twitter Web Client</v>
      </c>
      <c r="L154" s="13">
        <v>430</v>
      </c>
      <c r="M154" s="13">
        <v>657</v>
      </c>
      <c r="N154" s="13">
        <v>2</v>
      </c>
      <c r="O154" s="15"/>
      <c r="P154" s="6">
        <v>40221.871724537035</v>
      </c>
      <c r="Q154" s="11"/>
      <c r="R154" s="17"/>
      <c r="S154" s="11"/>
      <c r="T154" s="11"/>
      <c r="U154" s="10" t="str">
        <f>HYPERLINK("https://pbs.twimg.com/profile_images/1822925903/Imagen061.jpg","View")</f>
        <v>View</v>
      </c>
    </row>
    <row r="155" spans="1:21" ht="40.799999999999997">
      <c r="A155" s="6">
        <v>43442.612870370373</v>
      </c>
      <c r="B155" s="7" t="str">
        <f>HYPERLINK("https://twitter.com/SantanaYeray","@SantanaYeray")</f>
        <v>@SantanaYeray</v>
      </c>
      <c r="C155" s="8" t="s">
        <v>312</v>
      </c>
      <c r="D155" s="9" t="s">
        <v>313</v>
      </c>
      <c r="E155" s="10" t="str">
        <f>HYPERLINK("https://twitter.com/SantanaYeray/status/1071399630041202689","1071399630041202689")</f>
        <v>1071399630041202689</v>
      </c>
      <c r="F155" s="11"/>
      <c r="G155" s="11"/>
      <c r="H155" s="11"/>
      <c r="I155" s="13">
        <v>0</v>
      </c>
      <c r="J155" s="13">
        <v>2</v>
      </c>
      <c r="K155" s="14" t="str">
        <f>HYPERLINK("http://twitter.com/download/android","Twitter for Android")</f>
        <v>Twitter for Android</v>
      </c>
      <c r="L155" s="13">
        <v>1725</v>
      </c>
      <c r="M155" s="13">
        <v>864</v>
      </c>
      <c r="N155" s="13">
        <v>93</v>
      </c>
      <c r="O155" s="15"/>
      <c r="P155" s="6">
        <v>40766.006203703706</v>
      </c>
      <c r="Q155" s="18" t="s">
        <v>98</v>
      </c>
      <c r="R155" s="19" t="s">
        <v>318</v>
      </c>
      <c r="S155" s="11"/>
      <c r="T155" s="11"/>
      <c r="U155" s="10" t="str">
        <f>HYPERLINK("https://pbs.twimg.com/profile_images/1052842278514028544/yvKtKwGn.jpg","View")</f>
        <v>View</v>
      </c>
    </row>
    <row r="156" spans="1:21" ht="91.8">
      <c r="A156" s="6">
        <v>43442.61037037037</v>
      </c>
      <c r="B156" s="7" t="str">
        <f>HYPERLINK("https://twitter.com/lunacabalga","@lunacabalga")</f>
        <v>@lunacabalga</v>
      </c>
      <c r="C156" s="8" t="s">
        <v>320</v>
      </c>
      <c r="D156" s="9" t="s">
        <v>321</v>
      </c>
      <c r="E156" s="10" t="str">
        <f>HYPERLINK("https://twitter.com/lunacabalga/status/1071398724675481600","1071398724675481600")</f>
        <v>1071398724675481600</v>
      </c>
      <c r="F156" s="12" t="s">
        <v>322</v>
      </c>
      <c r="G156" s="11"/>
      <c r="H156" s="11"/>
      <c r="I156" s="13">
        <v>0</v>
      </c>
      <c r="J156" s="13">
        <v>0</v>
      </c>
      <c r="K156" s="14" t="str">
        <f>HYPERLINK("http://twitter.com/#!/download/ipad","Twitter for iPad")</f>
        <v>Twitter for iPad</v>
      </c>
      <c r="L156" s="13">
        <v>103</v>
      </c>
      <c r="M156" s="13">
        <v>243</v>
      </c>
      <c r="N156" s="13">
        <v>1</v>
      </c>
      <c r="O156" s="15"/>
      <c r="P156" s="6">
        <v>43027.9612037037</v>
      </c>
      <c r="Q156" s="11"/>
      <c r="R156" s="19" t="s">
        <v>323</v>
      </c>
      <c r="S156" s="11"/>
      <c r="T156" s="11"/>
      <c r="U156" s="10" t="str">
        <f>HYPERLINK("https://pbs.twimg.com/profile_images/921120958370500608/vdLI6dbC.jpg","View")</f>
        <v>View</v>
      </c>
    </row>
    <row r="157" spans="1:21" ht="20.399999999999999">
      <c r="A157" s="6">
        <v>43442.61001157407</v>
      </c>
      <c r="B157" s="7" t="str">
        <f>HYPERLINK("https://twitter.com/ANTPODEMOS","@ANTPODEMOS")</f>
        <v>@ANTPODEMOS</v>
      </c>
      <c r="C157" s="8" t="s">
        <v>1193</v>
      </c>
      <c r="D157" s="9" t="s">
        <v>1194</v>
      </c>
      <c r="E157" s="10" t="str">
        <f>HYPERLINK("https://twitter.com/ANTPODEMOS/status/1071398596547895298","1071398596547895298")</f>
        <v>1071398596547895298</v>
      </c>
      <c r="F157" s="12" t="s">
        <v>149</v>
      </c>
      <c r="G157" s="11"/>
      <c r="H157" s="11"/>
      <c r="I157" s="13">
        <v>3</v>
      </c>
      <c r="J157" s="13">
        <v>6</v>
      </c>
      <c r="K157" s="14" t="str">
        <f>HYPERLINK("http://www.facebook.com/twitter","Facebook")</f>
        <v>Facebook</v>
      </c>
      <c r="L157" s="13">
        <v>5584</v>
      </c>
      <c r="M157" s="13">
        <v>426</v>
      </c>
      <c r="N157" s="13">
        <v>58</v>
      </c>
      <c r="O157" s="15"/>
      <c r="P157" s="6">
        <v>41956.204837962963</v>
      </c>
      <c r="Q157" s="18" t="s">
        <v>42</v>
      </c>
      <c r="R157" s="19" t="s">
        <v>1198</v>
      </c>
      <c r="S157" s="12" t="s">
        <v>1200</v>
      </c>
      <c r="T157" s="11"/>
      <c r="U157" s="10" t="str">
        <f>HYPERLINK("https://pbs.twimg.com/profile_images/952681544224854017/rVAhotfW.jpg","View")</f>
        <v>View</v>
      </c>
    </row>
    <row r="158" spans="1:21" ht="102">
      <c r="A158" s="6">
        <v>43442.607731481483</v>
      </c>
      <c r="B158" s="7" t="str">
        <f>HYPERLINK("https://twitter.com/Astrodeck1979","@Astrodeck1979")</f>
        <v>@Astrodeck1979</v>
      </c>
      <c r="C158" s="8" t="s">
        <v>327</v>
      </c>
      <c r="D158" s="9" t="s">
        <v>328</v>
      </c>
      <c r="E158" s="10" t="str">
        <f>HYPERLINK("https://twitter.com/Astrodeck1979/status/1071397770953666560","1071397770953666560")</f>
        <v>1071397770953666560</v>
      </c>
      <c r="F158" s="12" t="s">
        <v>263</v>
      </c>
      <c r="G158" s="12" t="s">
        <v>264</v>
      </c>
      <c r="H158" s="11"/>
      <c r="I158" s="13">
        <v>0</v>
      </c>
      <c r="J158" s="13">
        <v>0</v>
      </c>
      <c r="K158" s="14" t="str">
        <f>HYPERLINK("http://twitter.com/download/iphone","Twitter for iPhone")</f>
        <v>Twitter for iPhone</v>
      </c>
      <c r="L158" s="13">
        <v>318</v>
      </c>
      <c r="M158" s="13">
        <v>465</v>
      </c>
      <c r="N158" s="13">
        <v>1</v>
      </c>
      <c r="O158" s="15"/>
      <c r="P158" s="6">
        <v>40101.452997685185</v>
      </c>
      <c r="Q158" s="18" t="s">
        <v>26</v>
      </c>
      <c r="R158" s="19" t="s">
        <v>329</v>
      </c>
      <c r="S158" s="11"/>
      <c r="T158" s="11"/>
      <c r="U158" s="10" t="str">
        <f>HYPERLINK("https://pbs.twimg.com/profile_images/710011368473272320/IIHz6ouF.jpg","View")</f>
        <v>View</v>
      </c>
    </row>
    <row r="159" spans="1:21" ht="71.400000000000006">
      <c r="A159" s="6">
        <v>43442.60769675926</v>
      </c>
      <c r="B159" s="7" t="str">
        <f>HYPERLINK("https://twitter.com/1717Carmen","@1717Carmen")</f>
        <v>@1717Carmen</v>
      </c>
      <c r="C159" s="8" t="s">
        <v>1207</v>
      </c>
      <c r="D159" s="9" t="s">
        <v>1208</v>
      </c>
      <c r="E159" s="10" t="str">
        <f>HYPERLINK("https://twitter.com/1717Carmen/status/1071397757955522562","1071397757955522562")</f>
        <v>1071397757955522562</v>
      </c>
      <c r="F159" s="18" t="s">
        <v>1209</v>
      </c>
      <c r="G159" s="12" t="s">
        <v>1210</v>
      </c>
      <c r="H159" s="11"/>
      <c r="I159" s="13">
        <v>0</v>
      </c>
      <c r="J159" s="13">
        <v>1</v>
      </c>
      <c r="K159" s="14" t="str">
        <f>HYPERLINK("http://twitter.com/download/android","Twitter for Android")</f>
        <v>Twitter for Android</v>
      </c>
      <c r="L159" s="13">
        <v>1949</v>
      </c>
      <c r="M159" s="13">
        <v>2567</v>
      </c>
      <c r="N159" s="13">
        <v>29</v>
      </c>
      <c r="O159" s="15"/>
      <c r="P159" s="6">
        <v>41740.948425925926</v>
      </c>
      <c r="Q159" s="18" t="s">
        <v>42</v>
      </c>
      <c r="R159" s="19" t="s">
        <v>1211</v>
      </c>
      <c r="S159" s="11"/>
      <c r="T159" s="11"/>
      <c r="U159" s="10" t="str">
        <f>HYPERLINK("https://pbs.twimg.com/profile_images/1003627471009406976/rnJkjm8a.jpg","View")</f>
        <v>View</v>
      </c>
    </row>
    <row r="160" spans="1:21" ht="40.799999999999997">
      <c r="A160" s="6">
        <v>43442.606562500005</v>
      </c>
      <c r="B160" s="7" t="str">
        <f>HYPERLINK("https://twitter.com/enriquedediegov","@enriquedediegov")</f>
        <v>@enriquedediegov</v>
      </c>
      <c r="C160" s="8" t="s">
        <v>234</v>
      </c>
      <c r="D160" s="9" t="s">
        <v>1212</v>
      </c>
      <c r="E160" s="10" t="str">
        <f>HYPERLINK("https://twitter.com/enriquedediegov/status/1071397345147916289","1071397345147916289")</f>
        <v>1071397345147916289</v>
      </c>
      <c r="F160" s="11"/>
      <c r="G160" s="11"/>
      <c r="H160" s="11"/>
      <c r="I160" s="13">
        <v>1</v>
      </c>
      <c r="J160" s="13">
        <v>2</v>
      </c>
      <c r="K160" s="14" t="str">
        <f t="shared" ref="K160:K161" si="27">HYPERLINK("http://twitter.com","Twitter Web Client")</f>
        <v>Twitter Web Client</v>
      </c>
      <c r="L160" s="13">
        <v>7792</v>
      </c>
      <c r="M160" s="13">
        <v>6053</v>
      </c>
      <c r="N160" s="13">
        <v>179</v>
      </c>
      <c r="O160" s="15"/>
      <c r="P160" s="6">
        <v>41293.717129629629</v>
      </c>
      <c r="Q160" s="18" t="s">
        <v>42</v>
      </c>
      <c r="R160" s="19" t="s">
        <v>239</v>
      </c>
      <c r="S160" s="12" t="s">
        <v>240</v>
      </c>
      <c r="T160" s="11"/>
      <c r="U160" s="10" t="str">
        <f>HYPERLINK("https://pbs.twimg.com/profile_images/3129623790/4ae197d01442e05dee4622297c3b9642.jpeg","View")</f>
        <v>View</v>
      </c>
    </row>
    <row r="161" spans="1:21" ht="20.399999999999999">
      <c r="A161" s="6">
        <v>43442.60533564815</v>
      </c>
      <c r="B161" s="7" t="str">
        <f>HYPERLINK("https://twitter.com/Msksone","@Msksone")</f>
        <v>@Msksone</v>
      </c>
      <c r="C161" s="8" t="s">
        <v>1215</v>
      </c>
      <c r="D161" s="9" t="s">
        <v>163</v>
      </c>
      <c r="E161" s="10" t="str">
        <f>HYPERLINK("https://twitter.com/Msksone/status/1071396901063458816","1071396901063458816")</f>
        <v>1071396901063458816</v>
      </c>
      <c r="F161" s="12" t="s">
        <v>166</v>
      </c>
      <c r="G161" s="11"/>
      <c r="H161" s="11"/>
      <c r="I161" s="13">
        <v>0</v>
      </c>
      <c r="J161" s="13">
        <v>1</v>
      </c>
      <c r="K161" s="14" t="str">
        <f t="shared" si="27"/>
        <v>Twitter Web Client</v>
      </c>
      <c r="L161" s="13">
        <v>104</v>
      </c>
      <c r="M161" s="13">
        <v>814</v>
      </c>
      <c r="N161" s="13">
        <v>6</v>
      </c>
      <c r="O161" s="15"/>
      <c r="P161" s="6">
        <v>40768.947094907409</v>
      </c>
      <c r="Q161" s="11"/>
      <c r="R161" s="17"/>
      <c r="S161" s="11"/>
      <c r="T161" s="11"/>
      <c r="U161" s="10" t="str">
        <f>HYPERLINK("https://pbs.twimg.com/profile_images/745888870877831170/MKp-wwqm.jpg","View")</f>
        <v>View</v>
      </c>
    </row>
    <row r="162" spans="1:21" ht="61.2">
      <c r="A162" s="6">
        <v>43442.604594907403</v>
      </c>
      <c r="B162" s="7" t="str">
        <f>HYPERLINK("https://twitter.com/RepixPix","@RepixPix")</f>
        <v>@RepixPix</v>
      </c>
      <c r="C162" s="8" t="s">
        <v>1216</v>
      </c>
      <c r="D162" s="9" t="s">
        <v>1218</v>
      </c>
      <c r="E162" s="10" t="str">
        <f>HYPERLINK("https://twitter.com/RepixPix/status/1071396633773043712","1071396633773043712")</f>
        <v>1071396633773043712</v>
      </c>
      <c r="F162" s="18" t="s">
        <v>1220</v>
      </c>
      <c r="G162" s="11"/>
      <c r="H162" s="11"/>
      <c r="I162" s="13">
        <v>0</v>
      </c>
      <c r="J162" s="13">
        <v>0</v>
      </c>
      <c r="K162" s="14" t="str">
        <f>HYPERLINK("http://twitter.com/download/android","Twitter for Android")</f>
        <v>Twitter for Android</v>
      </c>
      <c r="L162" s="13">
        <v>2671</v>
      </c>
      <c r="M162" s="13">
        <v>3653</v>
      </c>
      <c r="N162" s="13">
        <v>56</v>
      </c>
      <c r="O162" s="15"/>
      <c r="P162" s="6">
        <v>40995.543506944443</v>
      </c>
      <c r="Q162" s="11"/>
      <c r="R162" s="19" t="s">
        <v>1222</v>
      </c>
      <c r="S162" s="11"/>
      <c r="T162" s="11"/>
      <c r="U162" s="10" t="str">
        <f>HYPERLINK("https://pbs.twimg.com/profile_images/378800000255084006/3ddc415c649af729ae06c81a86a4a9fc.jpeg","View")</f>
        <v>View</v>
      </c>
    </row>
    <row r="163" spans="1:21" ht="40.799999999999997">
      <c r="A163" s="6">
        <v>43442.604548611111</v>
      </c>
      <c r="B163" s="7" t="str">
        <f>HYPERLINK("https://twitter.com/enriquedediegov","@enriquedediegov")</f>
        <v>@enriquedediegov</v>
      </c>
      <c r="C163" s="8" t="s">
        <v>234</v>
      </c>
      <c r="D163" s="9" t="s">
        <v>1225</v>
      </c>
      <c r="E163" s="10" t="str">
        <f>HYPERLINK("https://twitter.com/enriquedediegov/status/1071396614550499329","1071396614550499329")</f>
        <v>1071396614550499329</v>
      </c>
      <c r="F163" s="11"/>
      <c r="G163" s="11"/>
      <c r="H163" s="11"/>
      <c r="I163" s="13">
        <v>10</v>
      </c>
      <c r="J163" s="13">
        <v>24</v>
      </c>
      <c r="K163" s="14" t="str">
        <f>HYPERLINK("http://twitter.com","Twitter Web Client")</f>
        <v>Twitter Web Client</v>
      </c>
      <c r="L163" s="13">
        <v>7792</v>
      </c>
      <c r="M163" s="13">
        <v>6053</v>
      </c>
      <c r="N163" s="13">
        <v>179</v>
      </c>
      <c r="O163" s="15"/>
      <c r="P163" s="6">
        <v>41293.717129629629</v>
      </c>
      <c r="Q163" s="18" t="s">
        <v>42</v>
      </c>
      <c r="R163" s="19" t="s">
        <v>239</v>
      </c>
      <c r="S163" s="12" t="s">
        <v>240</v>
      </c>
      <c r="T163" s="11"/>
      <c r="U163" s="10" t="str">
        <f>HYPERLINK("https://pbs.twimg.com/profile_images/3129623790/4ae197d01442e05dee4622297c3b9642.jpeg","View")</f>
        <v>View</v>
      </c>
    </row>
    <row r="164" spans="1:21" ht="71.400000000000006">
      <c r="A164" s="6">
        <v>43442.60356481481</v>
      </c>
      <c r="B164" s="7" t="str">
        <f>HYPERLINK("https://twitter.com/MiguelGranada30","@MiguelGranada30")</f>
        <v>@MiguelGranada30</v>
      </c>
      <c r="C164" s="8" t="s">
        <v>1233</v>
      </c>
      <c r="D164" s="9" t="s">
        <v>1234</v>
      </c>
      <c r="E164" s="10" t="str">
        <f>HYPERLINK("https://twitter.com/MiguelGranada30/status/1071396261054595072","1071396261054595072")</f>
        <v>1071396261054595072</v>
      </c>
      <c r="F164" s="12" t="s">
        <v>498</v>
      </c>
      <c r="G164" s="12" t="s">
        <v>499</v>
      </c>
      <c r="H164" s="11"/>
      <c r="I164" s="13">
        <v>0</v>
      </c>
      <c r="J164" s="13">
        <v>0</v>
      </c>
      <c r="K164" s="14" t="str">
        <f>HYPERLINK("http://twitter.com/download/android","Twitter for Android")</f>
        <v>Twitter for Android</v>
      </c>
      <c r="L164" s="13">
        <v>248</v>
      </c>
      <c r="M164" s="13">
        <v>168</v>
      </c>
      <c r="N164" s="13">
        <v>8</v>
      </c>
      <c r="O164" s="15"/>
      <c r="P164" s="6">
        <v>40462.02584490741</v>
      </c>
      <c r="Q164" s="18" t="s">
        <v>1237</v>
      </c>
      <c r="R164" s="19" t="s">
        <v>1238</v>
      </c>
      <c r="S164" s="11"/>
      <c r="T164" s="11"/>
      <c r="U164" s="10" t="str">
        <f>HYPERLINK("https://pbs.twimg.com/profile_images/989115417888198656/KiKHZxWR.jpg","View")</f>
        <v>View</v>
      </c>
    </row>
    <row r="165" spans="1:21" ht="40.799999999999997">
      <c r="A165" s="6">
        <v>43442.601400462961</v>
      </c>
      <c r="B165" s="7" t="str">
        <f>HYPERLINK("https://twitter.com/patricia_trix8","@patricia_trix8")</f>
        <v>@patricia_trix8</v>
      </c>
      <c r="C165" s="8" t="s">
        <v>1241</v>
      </c>
      <c r="D165" s="9" t="s">
        <v>1242</v>
      </c>
      <c r="E165" s="10" t="str">
        <f>HYPERLINK("https://twitter.com/patricia_trix8/status/1071395474932928512","1071395474932928512")</f>
        <v>1071395474932928512</v>
      </c>
      <c r="F165" s="12" t="s">
        <v>1244</v>
      </c>
      <c r="G165" s="11"/>
      <c r="H165" s="11"/>
      <c r="I165" s="13">
        <v>17</v>
      </c>
      <c r="J165" s="13">
        <v>13</v>
      </c>
      <c r="K165" s="14" t="str">
        <f>HYPERLINK("http://twitter.com/download/iphone","Twitter for iPhone")</f>
        <v>Twitter for iPhone</v>
      </c>
      <c r="L165" s="13">
        <v>1719</v>
      </c>
      <c r="M165" s="13">
        <v>2007</v>
      </c>
      <c r="N165" s="13">
        <v>1</v>
      </c>
      <c r="O165" s="15"/>
      <c r="P165" s="6">
        <v>43279.446250000001</v>
      </c>
      <c r="Q165" s="18" t="s">
        <v>655</v>
      </c>
      <c r="R165" s="19" t="s">
        <v>1245</v>
      </c>
      <c r="S165" s="11"/>
      <c r="T165" s="11"/>
      <c r="U165" s="10" t="str">
        <f>HYPERLINK("https://pbs.twimg.com/profile_images/1069361901560311808/L8Et6AaH.jpg","View")</f>
        <v>View</v>
      </c>
    </row>
    <row r="166" spans="1:21" ht="51">
      <c r="A166" s="6">
        <v>43442.600752314815</v>
      </c>
      <c r="B166" s="7" t="str">
        <f>HYPERLINK("https://twitter.com/_Gafas_y_reloj_","@_Gafas_y_reloj_")</f>
        <v>@_Gafas_y_reloj_</v>
      </c>
      <c r="C166" s="8" t="s">
        <v>331</v>
      </c>
      <c r="D166" s="9" t="s">
        <v>332</v>
      </c>
      <c r="E166" s="10" t="str">
        <f>HYPERLINK("https://twitter.com/_Gafas_y_reloj_/status/1071395241222131714","1071395241222131714")</f>
        <v>1071395241222131714</v>
      </c>
      <c r="F166" s="11"/>
      <c r="G166" s="11"/>
      <c r="H166" s="11"/>
      <c r="I166" s="13">
        <v>10</v>
      </c>
      <c r="J166" s="13">
        <v>18</v>
      </c>
      <c r="K166" s="14" t="str">
        <f t="shared" ref="K166:K169" si="28">HYPERLINK("http://twitter.com/download/android","Twitter for Android")</f>
        <v>Twitter for Android</v>
      </c>
      <c r="L166" s="13">
        <v>11839</v>
      </c>
      <c r="M166" s="13">
        <v>718</v>
      </c>
      <c r="N166" s="13">
        <v>194</v>
      </c>
      <c r="O166" s="15"/>
      <c r="P166" s="6">
        <v>40803.430173611108</v>
      </c>
      <c r="Q166" s="18" t="s">
        <v>333</v>
      </c>
      <c r="R166" s="19" t="s">
        <v>334</v>
      </c>
      <c r="S166" s="11"/>
      <c r="T166" s="11"/>
      <c r="U166" s="10" t="str">
        <f>HYPERLINK("https://pbs.twimg.com/profile_images/923940667965038593/LEd9tLut.jpg","View")</f>
        <v>View</v>
      </c>
    </row>
    <row r="167" spans="1:21" ht="51">
      <c r="A167" s="6">
        <v>43442.600231481483</v>
      </c>
      <c r="B167" s="7" t="str">
        <f>HYPERLINK("https://twitter.com/PraLarr","@PraLarr")</f>
        <v>@PraLarr</v>
      </c>
      <c r="C167" s="8" t="s">
        <v>337</v>
      </c>
      <c r="D167" s="9" t="s">
        <v>338</v>
      </c>
      <c r="E167" s="10" t="str">
        <f>HYPERLINK("https://twitter.com/PraLarr/status/1071395051316699136","1071395051316699136")</f>
        <v>1071395051316699136</v>
      </c>
      <c r="F167" s="11"/>
      <c r="G167" s="11"/>
      <c r="H167" s="11"/>
      <c r="I167" s="13">
        <v>4</v>
      </c>
      <c r="J167" s="13">
        <v>2</v>
      </c>
      <c r="K167" s="14" t="str">
        <f t="shared" si="28"/>
        <v>Twitter for Android</v>
      </c>
      <c r="L167" s="13">
        <v>2982</v>
      </c>
      <c r="M167" s="13">
        <v>2966</v>
      </c>
      <c r="N167" s="13">
        <v>40</v>
      </c>
      <c r="O167" s="15"/>
      <c r="P167" s="6">
        <v>40663.79115740741</v>
      </c>
      <c r="Q167" s="18" t="s">
        <v>342</v>
      </c>
      <c r="R167" s="19" t="s">
        <v>343</v>
      </c>
      <c r="S167" s="11"/>
      <c r="T167" s="11"/>
      <c r="U167" s="10" t="str">
        <f>HYPERLINK("https://pbs.twimg.com/profile_images/992902372371451905/hOpSGKDS.jpg","View")</f>
        <v>View</v>
      </c>
    </row>
    <row r="168" spans="1:21" ht="20.399999999999999">
      <c r="A168" s="6">
        <v>43442.599733796298</v>
      </c>
      <c r="B168" s="7" t="str">
        <f>HYPERLINK("https://twitter.com/antoniobokeron2","@antoniobokeron2")</f>
        <v>@antoniobokeron2</v>
      </c>
      <c r="C168" s="8" t="s">
        <v>1251</v>
      </c>
      <c r="D168" s="9" t="s">
        <v>1252</v>
      </c>
      <c r="E168" s="10" t="str">
        <f>HYPERLINK("https://twitter.com/antoniobokeron2/status/1071394872131756033","1071394872131756033")</f>
        <v>1071394872131756033</v>
      </c>
      <c r="F168" s="12" t="s">
        <v>1015</v>
      </c>
      <c r="G168" s="11"/>
      <c r="H168" s="11"/>
      <c r="I168" s="13">
        <v>0</v>
      </c>
      <c r="J168" s="13">
        <v>0</v>
      </c>
      <c r="K168" s="14" t="str">
        <f t="shared" si="28"/>
        <v>Twitter for Android</v>
      </c>
      <c r="L168" s="13">
        <v>807</v>
      </c>
      <c r="M168" s="13">
        <v>1195</v>
      </c>
      <c r="N168" s="13">
        <v>13</v>
      </c>
      <c r="O168" s="15"/>
      <c r="P168" s="6">
        <v>42283.695</v>
      </c>
      <c r="Q168" s="11"/>
      <c r="R168" s="19" t="s">
        <v>1255</v>
      </c>
      <c r="S168" s="11"/>
      <c r="T168" s="11"/>
      <c r="U168" s="10" t="str">
        <f>HYPERLINK("https://pbs.twimg.com/profile_images/784503971876630528/wEzGBiVc.jpg","View")</f>
        <v>View</v>
      </c>
    </row>
    <row r="169" spans="1:21" ht="20.399999999999999">
      <c r="A169" s="6">
        <v>43442.599340277782</v>
      </c>
      <c r="B169" s="7" t="str">
        <f>HYPERLINK("https://twitter.com/amonrapopi","@amonrapopi")</f>
        <v>@amonrapopi</v>
      </c>
      <c r="C169" s="8" t="s">
        <v>1258</v>
      </c>
      <c r="D169" s="9" t="s">
        <v>612</v>
      </c>
      <c r="E169" s="10" t="str">
        <f>HYPERLINK("https://twitter.com/amonrapopi/status/1071394730183921671","1071394730183921671")</f>
        <v>1071394730183921671</v>
      </c>
      <c r="F169" s="12" t="s">
        <v>49</v>
      </c>
      <c r="G169" s="11"/>
      <c r="H169" s="11"/>
      <c r="I169" s="13">
        <v>0</v>
      </c>
      <c r="J169" s="13">
        <v>0</v>
      </c>
      <c r="K169" s="14" t="str">
        <f t="shared" si="28"/>
        <v>Twitter for Android</v>
      </c>
      <c r="L169" s="13">
        <v>6092</v>
      </c>
      <c r="M169" s="13">
        <v>5899</v>
      </c>
      <c r="N169" s="13">
        <v>32</v>
      </c>
      <c r="O169" s="15"/>
      <c r="P169" s="6">
        <v>41040.625856481478</v>
      </c>
      <c r="Q169" s="18" t="s">
        <v>1260</v>
      </c>
      <c r="R169" s="19" t="s">
        <v>1261</v>
      </c>
      <c r="S169" s="11"/>
      <c r="T169" s="11"/>
      <c r="U169" s="10" t="str">
        <f>HYPERLINK("https://pbs.twimg.com/profile_images/941339631878066176/Vb6yrQkD.jpg","View")</f>
        <v>View</v>
      </c>
    </row>
    <row r="170" spans="1:21" ht="30.6">
      <c r="A170" s="6">
        <v>43442.599293981482</v>
      </c>
      <c r="B170" s="7" t="str">
        <f>HYPERLINK("https://twitter.com/APRIL03678231","@APRIL03678231")</f>
        <v>@APRIL03678231</v>
      </c>
      <c r="C170" s="8" t="s">
        <v>1264</v>
      </c>
      <c r="D170" s="9" t="s">
        <v>1265</v>
      </c>
      <c r="E170" s="10" t="str">
        <f>HYPERLINK("https://twitter.com/APRIL03678231/status/1071394710521028608","1071394710521028608")</f>
        <v>1071394710521028608</v>
      </c>
      <c r="F170" s="11"/>
      <c r="G170" s="12" t="s">
        <v>1266</v>
      </c>
      <c r="H170" s="11"/>
      <c r="I170" s="13">
        <v>0</v>
      </c>
      <c r="J170" s="13">
        <v>0</v>
      </c>
      <c r="K170" s="14" t="str">
        <f>HYPERLINK("http://twitter.com","Twitter Web Client")</f>
        <v>Twitter Web Client</v>
      </c>
      <c r="L170" s="13">
        <v>40</v>
      </c>
      <c r="M170" s="13">
        <v>217</v>
      </c>
      <c r="N170" s="13">
        <v>0</v>
      </c>
      <c r="O170" s="15"/>
      <c r="P170" s="6">
        <v>42928.378564814819</v>
      </c>
      <c r="Q170" s="18" t="s">
        <v>260</v>
      </c>
      <c r="R170" s="19" t="s">
        <v>1268</v>
      </c>
      <c r="S170" s="11"/>
      <c r="T170" s="11"/>
      <c r="U170" s="10" t="str">
        <f>HYPERLINK("https://pbs.twimg.com/profile_images/885870012287897600/BeBJr_2p.jpg","View")</f>
        <v>View</v>
      </c>
    </row>
    <row r="171" spans="1:21" ht="40.799999999999997">
      <c r="A171" s="6">
        <v>43442.598703703705</v>
      </c>
      <c r="B171" s="7" t="str">
        <f>HYPERLINK("https://twitter.com/RatonzitaSpain","@RatonzitaSpain")</f>
        <v>@RatonzitaSpain</v>
      </c>
      <c r="C171" s="8" t="s">
        <v>1272</v>
      </c>
      <c r="D171" s="9" t="s">
        <v>1273</v>
      </c>
      <c r="E171" s="10" t="str">
        <f>HYPERLINK("https://twitter.com/RatonzitaSpain/status/1071394496364118016","1071394496364118016")</f>
        <v>1071394496364118016</v>
      </c>
      <c r="F171" s="11"/>
      <c r="G171" s="11"/>
      <c r="H171" s="11"/>
      <c r="I171" s="13">
        <v>0</v>
      </c>
      <c r="J171" s="13">
        <v>0</v>
      </c>
      <c r="K171" s="14" t="str">
        <f>HYPERLINK("http://twitter.com/download/android","Twitter for Android")</f>
        <v>Twitter for Android</v>
      </c>
      <c r="L171" s="13">
        <v>543</v>
      </c>
      <c r="M171" s="13">
        <v>116</v>
      </c>
      <c r="N171" s="13">
        <v>4</v>
      </c>
      <c r="O171" s="15"/>
      <c r="P171" s="6">
        <v>41084.574444444443</v>
      </c>
      <c r="Q171" s="18" t="s">
        <v>1278</v>
      </c>
      <c r="R171" s="19" t="s">
        <v>1279</v>
      </c>
      <c r="S171" s="12" t="s">
        <v>1280</v>
      </c>
      <c r="T171" s="11"/>
      <c r="U171" s="10" t="str">
        <f>HYPERLINK("https://pbs.twimg.com/profile_images/1061030579385352192/oSAINOwr.jpg","View")</f>
        <v>View</v>
      </c>
    </row>
    <row r="172" spans="1:21" ht="20.399999999999999">
      <c r="A172" s="6">
        <v>43442.597650462965</v>
      </c>
      <c r="B172" s="7" t="str">
        <f>HYPERLINK("https://twitter.com/galiza72510169","@galiza72510169")</f>
        <v>@galiza72510169</v>
      </c>
      <c r="C172" s="8" t="s">
        <v>1283</v>
      </c>
      <c r="D172" s="9" t="s">
        <v>1284</v>
      </c>
      <c r="E172" s="10" t="str">
        <f>HYPERLINK("https://twitter.com/galiza72510169/status/1071394114250379264","1071394114250379264")</f>
        <v>1071394114250379264</v>
      </c>
      <c r="F172" s="11"/>
      <c r="G172" s="11"/>
      <c r="H172" s="11"/>
      <c r="I172" s="13">
        <v>0</v>
      </c>
      <c r="J172" s="13">
        <v>0</v>
      </c>
      <c r="K172" s="14" t="str">
        <f>HYPERLINK("http://twitter.com/download/iphone","Twitter for iPhone")</f>
        <v>Twitter for iPhone</v>
      </c>
      <c r="L172" s="13">
        <v>40</v>
      </c>
      <c r="M172" s="13">
        <v>499</v>
      </c>
      <c r="N172" s="13">
        <v>0</v>
      </c>
      <c r="O172" s="15"/>
      <c r="P172" s="6">
        <v>43337.978854166664</v>
      </c>
      <c r="Q172" s="18" t="s">
        <v>1286</v>
      </c>
      <c r="R172" s="19" t="s">
        <v>1287</v>
      </c>
      <c r="S172" s="11"/>
      <c r="T172" s="11"/>
      <c r="U172" s="10" t="str">
        <f>HYPERLINK("https://pbs.twimg.com/profile_images/1066806119731994625/Ksur0uAg.jpg","View")</f>
        <v>View</v>
      </c>
    </row>
    <row r="173" spans="1:21" ht="81.599999999999994">
      <c r="A173" s="6">
        <v>43442.597314814819</v>
      </c>
      <c r="B173" s="7" t="str">
        <f>HYPERLINK("https://twitter.com/Ginju3","@Ginju3")</f>
        <v>@Ginju3</v>
      </c>
      <c r="C173" s="8" t="s">
        <v>1288</v>
      </c>
      <c r="D173" s="9" t="s">
        <v>1289</v>
      </c>
      <c r="E173" s="10" t="str">
        <f>HYPERLINK("https://twitter.com/Ginju3/status/1071393995882983429","1071393995882983429")</f>
        <v>1071393995882983429</v>
      </c>
      <c r="F173" s="18" t="s">
        <v>552</v>
      </c>
      <c r="G173" s="11"/>
      <c r="H173" s="11"/>
      <c r="I173" s="13">
        <v>0</v>
      </c>
      <c r="J173" s="13">
        <v>0</v>
      </c>
      <c r="K173" s="14" t="str">
        <f>HYPERLINK("http://twitter.com/download/android","Twitter for Android")</f>
        <v>Twitter for Android</v>
      </c>
      <c r="L173" s="13">
        <v>320</v>
      </c>
      <c r="M173" s="13">
        <v>561</v>
      </c>
      <c r="N173" s="13">
        <v>23</v>
      </c>
      <c r="O173" s="15"/>
      <c r="P173" s="6">
        <v>42260.944502314815</v>
      </c>
      <c r="Q173" s="11"/>
      <c r="R173" s="17"/>
      <c r="S173" s="11"/>
      <c r="T173" s="11"/>
      <c r="U173" s="10" t="str">
        <f>HYPERLINK("https://pbs.twimg.com/profile_images/938107499923861504/YOi2UjxF.jpg","View")</f>
        <v>View</v>
      </c>
    </row>
    <row r="174" spans="1:21" ht="40.799999999999997">
      <c r="A174" s="6">
        <v>43442.595902777779</v>
      </c>
      <c r="B174" s="7" t="str">
        <f>HYPERLINK("https://twitter.com/Mazinguer88","@Mazinguer88")</f>
        <v>@Mazinguer88</v>
      </c>
      <c r="C174" s="8" t="s">
        <v>1293</v>
      </c>
      <c r="D174" s="9" t="s">
        <v>1294</v>
      </c>
      <c r="E174" s="10" t="str">
        <f>HYPERLINK("https://twitter.com/Mazinguer88/status/1071393481648689153","1071393481648689153")</f>
        <v>1071393481648689153</v>
      </c>
      <c r="F174" s="11"/>
      <c r="G174" s="11"/>
      <c r="H174" s="11"/>
      <c r="I174" s="13">
        <v>0</v>
      </c>
      <c r="J174" s="13">
        <v>6</v>
      </c>
      <c r="K174" s="14" t="str">
        <f>HYPERLINK("http://twitter.com","Twitter Web Client")</f>
        <v>Twitter Web Client</v>
      </c>
      <c r="L174" s="13">
        <v>1896</v>
      </c>
      <c r="M174" s="13">
        <v>1900</v>
      </c>
      <c r="N174" s="13">
        <v>3</v>
      </c>
      <c r="O174" s="15"/>
      <c r="P174" s="6">
        <v>42889.69263888889</v>
      </c>
      <c r="Q174" s="11"/>
      <c r="R174" s="19" t="s">
        <v>1297</v>
      </c>
      <c r="S174" s="11"/>
      <c r="T174" s="11"/>
      <c r="U174" s="10" t="str">
        <f>HYPERLINK("https://pbs.twimg.com/profile_images/1019971927312609283/3C_8THzh.jpg","View")</f>
        <v>View</v>
      </c>
    </row>
    <row r="175" spans="1:21" ht="30.6">
      <c r="A175" s="6">
        <v>43442.59412037037</v>
      </c>
      <c r="B175" s="7" t="str">
        <f>HYPERLINK("https://twitter.com/GtDeportes","@GtDeportes")</f>
        <v>@GtDeportes</v>
      </c>
      <c r="C175" s="8" t="s">
        <v>1300</v>
      </c>
      <c r="D175" s="9" t="s">
        <v>1301</v>
      </c>
      <c r="E175" s="10" t="str">
        <f>HYPERLINK("https://twitter.com/GtDeportes/status/1071392836300562435","1071392836300562435")</f>
        <v>1071392836300562435</v>
      </c>
      <c r="F175" s="18" t="s">
        <v>1302</v>
      </c>
      <c r="G175" s="11"/>
      <c r="H175" s="11"/>
      <c r="I175" s="13">
        <v>0</v>
      </c>
      <c r="J175" s="13">
        <v>0</v>
      </c>
      <c r="K175" s="14" t="str">
        <f>HYPERLINK("https://ifttt.com","IFTTT")</f>
        <v>IFTTT</v>
      </c>
      <c r="L175" s="13">
        <v>1165</v>
      </c>
      <c r="M175" s="13">
        <v>704</v>
      </c>
      <c r="N175" s="13">
        <v>23</v>
      </c>
      <c r="O175" s="15"/>
      <c r="P175" s="6">
        <v>41603.275555555556</v>
      </c>
      <c r="Q175" s="18" t="s">
        <v>1303</v>
      </c>
      <c r="R175" s="19" t="s">
        <v>1305</v>
      </c>
      <c r="S175" s="11"/>
      <c r="T175" s="11"/>
      <c r="U175" s="10" t="str">
        <f>HYPERLINK("https://pbs.twimg.com/profile_images/378800000787665781/857fbc1c9c1b5ab173c11d07c5f10b8c.png","View")</f>
        <v>View</v>
      </c>
    </row>
    <row r="176" spans="1:21" ht="20.399999999999999">
      <c r="A176" s="6">
        <v>43442.593831018516</v>
      </c>
      <c r="B176" s="7" t="str">
        <f>HYPERLINK("https://twitter.com/CristoFeliz1","@CristoFeliz1")</f>
        <v>@CristoFeliz1</v>
      </c>
      <c r="C176" s="8" t="s">
        <v>1307</v>
      </c>
      <c r="D176" s="9" t="s">
        <v>223</v>
      </c>
      <c r="E176" s="10" t="str">
        <f>HYPERLINK("https://twitter.com/CristoFeliz1/status/1071392730188673025","1071392730188673025")</f>
        <v>1071392730188673025</v>
      </c>
      <c r="F176" s="12" t="s">
        <v>1308</v>
      </c>
      <c r="G176" s="12" t="s">
        <v>1309</v>
      </c>
      <c r="H176" s="11"/>
      <c r="I176" s="13">
        <v>0</v>
      </c>
      <c r="J176" s="13">
        <v>0</v>
      </c>
      <c r="K176" s="14" t="str">
        <f>HYPERLINK("https://dlvrit.com/","dlvr.it")</f>
        <v>dlvr.it</v>
      </c>
      <c r="L176" s="13">
        <v>7015</v>
      </c>
      <c r="M176" s="13">
        <v>7733</v>
      </c>
      <c r="N176" s="13">
        <v>561</v>
      </c>
      <c r="O176" s="15"/>
      <c r="P176" s="6">
        <v>41186.866469907407</v>
      </c>
      <c r="Q176" s="18" t="s">
        <v>1312</v>
      </c>
      <c r="R176" s="19" t="s">
        <v>1313</v>
      </c>
      <c r="S176" s="11"/>
      <c r="T176" s="11"/>
      <c r="U176" s="10" t="str">
        <f>HYPERLINK("https://pbs.twimg.com/profile_images/1002564938911703040/1Wvxy6Jm.jpg","View")</f>
        <v>View</v>
      </c>
    </row>
    <row r="177" spans="1:21" ht="102">
      <c r="A177" s="6">
        <v>43442.593611111108</v>
      </c>
      <c r="B177" s="7" t="str">
        <f>HYPERLINK("https://twitter.com/Desfederado","@Desfederado")</f>
        <v>@Desfederado</v>
      </c>
      <c r="C177" s="8" t="s">
        <v>344</v>
      </c>
      <c r="D177" s="9" t="s">
        <v>345</v>
      </c>
      <c r="E177" s="10" t="str">
        <f>HYPERLINK("https://twitter.com/Desfederado/status/1071392650677374977","1071392650677374977")</f>
        <v>1071392650677374977</v>
      </c>
      <c r="F177" s="18" t="s">
        <v>348</v>
      </c>
      <c r="G177" s="11"/>
      <c r="H177" s="11"/>
      <c r="I177" s="13">
        <v>0</v>
      </c>
      <c r="J177" s="13">
        <v>2</v>
      </c>
      <c r="K177" s="14" t="str">
        <f>HYPERLINK("http://twitter.com/download/iphone","Twitter for iPhone")</f>
        <v>Twitter for iPhone</v>
      </c>
      <c r="L177" s="13">
        <v>235</v>
      </c>
      <c r="M177" s="13">
        <v>399</v>
      </c>
      <c r="N177" s="13">
        <v>2</v>
      </c>
      <c r="O177" s="15"/>
      <c r="P177" s="6">
        <v>42873.776631944449</v>
      </c>
      <c r="Q177" s="18" t="s">
        <v>173</v>
      </c>
      <c r="R177" s="19" t="s">
        <v>349</v>
      </c>
      <c r="S177" s="11"/>
      <c r="T177" s="11"/>
      <c r="U177" s="10" t="str">
        <f>HYPERLINK("https://pbs.twimg.com/profile_images/1032013036264083456/Dc5xJkM0.jpg","View")</f>
        <v>View</v>
      </c>
    </row>
    <row r="178" spans="1:21" ht="20.399999999999999">
      <c r="A178" s="6">
        <v>43442.5934375</v>
      </c>
      <c r="B178" s="7" t="str">
        <f>HYPERLINK("https://twitter.com/doriangrey63","@doriangrey63")</f>
        <v>@doriangrey63</v>
      </c>
      <c r="C178" s="8" t="s">
        <v>1326</v>
      </c>
      <c r="D178" s="9" t="s">
        <v>279</v>
      </c>
      <c r="E178" s="10" t="str">
        <f>HYPERLINK("https://twitter.com/doriangrey63/status/1071392588979007488","1071392588979007488")</f>
        <v>1071392588979007488</v>
      </c>
      <c r="F178" s="12" t="s">
        <v>280</v>
      </c>
      <c r="G178" s="11"/>
      <c r="H178" s="11"/>
      <c r="I178" s="13">
        <v>0</v>
      </c>
      <c r="J178" s="13">
        <v>0</v>
      </c>
      <c r="K178" s="14" t="str">
        <f>HYPERLINK("http://twitter.com","Twitter Web Client")</f>
        <v>Twitter Web Client</v>
      </c>
      <c r="L178" s="13">
        <v>1104</v>
      </c>
      <c r="M178" s="13">
        <v>1003</v>
      </c>
      <c r="N178" s="13">
        <v>40</v>
      </c>
      <c r="O178" s="15"/>
      <c r="P178" s="6">
        <v>41166.431875000002</v>
      </c>
      <c r="Q178" s="18" t="s">
        <v>42</v>
      </c>
      <c r="R178" s="17"/>
      <c r="S178" s="11"/>
      <c r="T178" s="11"/>
      <c r="U178" s="10" t="str">
        <f>HYPERLINK("https://pbs.twimg.com/profile_images/1057586706810056704/gwpzSr3B.jpg","View")</f>
        <v>View</v>
      </c>
    </row>
    <row r="179" spans="1:21" ht="40.799999999999997">
      <c r="A179" s="6">
        <v>43442.5933912037</v>
      </c>
      <c r="B179" s="7" t="str">
        <f>HYPERLINK("https://twitter.com/Ben_Quick_","@Ben_Quick_")</f>
        <v>@Ben_Quick_</v>
      </c>
      <c r="C179" s="8" t="s">
        <v>1330</v>
      </c>
      <c r="D179" s="9" t="s">
        <v>1331</v>
      </c>
      <c r="E179" s="10" t="str">
        <f>HYPERLINK("https://twitter.com/Ben_Quick_/status/1071392571539288065","1071392571539288065")</f>
        <v>1071392571539288065</v>
      </c>
      <c r="F179" s="12" t="s">
        <v>1334</v>
      </c>
      <c r="G179" s="11"/>
      <c r="H179" s="11"/>
      <c r="I179" s="13">
        <v>0</v>
      </c>
      <c r="J179" s="13">
        <v>0</v>
      </c>
      <c r="K179" s="14" t="str">
        <f>HYPERLINK("https://ifttt.com","IFTTT")</f>
        <v>IFTTT</v>
      </c>
      <c r="L179" s="13">
        <v>3338</v>
      </c>
      <c r="M179" s="13">
        <v>3372</v>
      </c>
      <c r="N179" s="13">
        <v>8</v>
      </c>
      <c r="O179" s="15"/>
      <c r="P179" s="6">
        <v>43009.054664351846</v>
      </c>
      <c r="Q179" s="18" t="s">
        <v>1336</v>
      </c>
      <c r="R179" s="19" t="s">
        <v>1338</v>
      </c>
      <c r="S179" s="11"/>
      <c r="T179" s="11"/>
      <c r="U179" s="10" t="str">
        <f>HYPERLINK("https://pbs.twimg.com/profile_images/914270747845173248/2weEqrIZ.jpg","View")</f>
        <v>View</v>
      </c>
    </row>
    <row r="180" spans="1:21" ht="40.799999999999997">
      <c r="A180" s="6">
        <v>43442.592534722222</v>
      </c>
      <c r="B180" s="7" t="str">
        <f>HYPERLINK("https://twitter.com/lmpg_twi","@lmpg_twi")</f>
        <v>@lmpg_twi</v>
      </c>
      <c r="C180" s="8" t="s">
        <v>352</v>
      </c>
      <c r="D180" s="9" t="s">
        <v>353</v>
      </c>
      <c r="E180" s="10" t="str">
        <f>HYPERLINK("https://twitter.com/lmpg_twi/status/1071392263023091712","1071392263023091712")</f>
        <v>1071392263023091712</v>
      </c>
      <c r="F180" s="12" t="s">
        <v>356</v>
      </c>
      <c r="G180" s="11"/>
      <c r="H180" s="11"/>
      <c r="I180" s="13">
        <v>0</v>
      </c>
      <c r="J180" s="13">
        <v>0</v>
      </c>
      <c r="K180" s="14" t="str">
        <f>HYPERLINK("http://twitter.com","Twitter Web Client")</f>
        <v>Twitter Web Client</v>
      </c>
      <c r="L180" s="13">
        <v>1404</v>
      </c>
      <c r="M180" s="13">
        <v>1613</v>
      </c>
      <c r="N180" s="13">
        <v>34</v>
      </c>
      <c r="O180" s="15"/>
      <c r="P180" s="6">
        <v>41302.5153587963</v>
      </c>
      <c r="Q180" s="11"/>
      <c r="R180" s="19" t="s">
        <v>358</v>
      </c>
      <c r="S180" s="11"/>
      <c r="T180" s="11"/>
      <c r="U180" s="10" t="str">
        <f>HYPERLINK("https://pbs.twimg.com/profile_images/1069918574276476928/cr5_v3Eg.jpg","View")</f>
        <v>View</v>
      </c>
    </row>
    <row r="181" spans="1:21" ht="40.799999999999997">
      <c r="A181" s="6">
        <v>43442.592129629629</v>
      </c>
      <c r="B181" s="7" t="str">
        <f>HYPERLINK("https://twitter.com/ivanplvsvltra","@ivanplvsvltra")</f>
        <v>@ivanplvsvltra</v>
      </c>
      <c r="C181" s="8" t="s">
        <v>359</v>
      </c>
      <c r="D181" s="9" t="s">
        <v>360</v>
      </c>
      <c r="E181" s="10" t="str">
        <f>HYPERLINK("https://twitter.com/ivanplvsvltra/status/1071392117023485952","1071392117023485952")</f>
        <v>1071392117023485952</v>
      </c>
      <c r="F181" s="12" t="s">
        <v>361</v>
      </c>
      <c r="G181" s="11"/>
      <c r="H181" s="11"/>
      <c r="I181" s="13">
        <v>0</v>
      </c>
      <c r="J181" s="13">
        <v>0</v>
      </c>
      <c r="K181" s="14" t="str">
        <f>HYPERLINK("http://twitter.com/download/android","Twitter for Android")</f>
        <v>Twitter for Android</v>
      </c>
      <c r="L181" s="13">
        <v>82</v>
      </c>
      <c r="M181" s="13">
        <v>177</v>
      </c>
      <c r="N181" s="13">
        <v>0</v>
      </c>
      <c r="O181" s="15"/>
      <c r="P181" s="6">
        <v>43009.474664351852</v>
      </c>
      <c r="Q181" s="18" t="s">
        <v>42</v>
      </c>
      <c r="R181" s="19" t="s">
        <v>363</v>
      </c>
      <c r="S181" s="11"/>
      <c r="T181" s="11"/>
      <c r="U181" s="10" t="str">
        <f>HYPERLINK("https://pbs.twimg.com/profile_images/914421213161836545/juho3nSU.jpg","View")</f>
        <v>View</v>
      </c>
    </row>
    <row r="182" spans="1:21" ht="20.399999999999999">
      <c r="A182" s="6">
        <v>43442.590324074074</v>
      </c>
      <c r="B182" s="7" t="str">
        <f>HYPERLINK("https://twitter.com/Vzaino1","@Vzaino1")</f>
        <v>@Vzaino1</v>
      </c>
      <c r="C182" s="8" t="s">
        <v>381</v>
      </c>
      <c r="D182" s="9" t="s">
        <v>1351</v>
      </c>
      <c r="E182" s="10" t="str">
        <f>HYPERLINK("https://twitter.com/Vzaino1/status/1071391459901886466","1071391459901886466")</f>
        <v>1071391459901886466</v>
      </c>
      <c r="F182" s="12" t="s">
        <v>403</v>
      </c>
      <c r="G182" s="11"/>
      <c r="H182" s="11"/>
      <c r="I182" s="13">
        <v>0</v>
      </c>
      <c r="J182" s="13">
        <v>0</v>
      </c>
      <c r="K182" s="14" t="str">
        <f>HYPERLINK("http://twitter.com","Twitter Web Client")</f>
        <v>Twitter Web Client</v>
      </c>
      <c r="L182" s="13">
        <v>287</v>
      </c>
      <c r="M182" s="13">
        <v>654</v>
      </c>
      <c r="N182" s="13">
        <v>0</v>
      </c>
      <c r="O182" s="15"/>
      <c r="P182" s="6">
        <v>43402.79069444444</v>
      </c>
      <c r="Q182" s="11"/>
      <c r="R182" s="19" t="s">
        <v>383</v>
      </c>
      <c r="S182" s="11"/>
      <c r="T182" s="11"/>
      <c r="U182" s="16" t="s">
        <v>191</v>
      </c>
    </row>
    <row r="183" spans="1:21" ht="13.2">
      <c r="A183" s="6">
        <v>43442.587164351848</v>
      </c>
      <c r="B183" s="7" t="str">
        <f>HYPERLINK("https://twitter.com/jordi_serrano","@jordi_serrano")</f>
        <v>@jordi_serrano</v>
      </c>
      <c r="C183" s="8" t="s">
        <v>1356</v>
      </c>
      <c r="D183" s="9" t="s">
        <v>1357</v>
      </c>
      <c r="E183" s="10" t="str">
        <f>HYPERLINK("https://twitter.com/jordi_serrano/status/1071390317767741440","1071390317767741440")</f>
        <v>1071390317767741440</v>
      </c>
      <c r="F183" s="12" t="s">
        <v>1358</v>
      </c>
      <c r="G183" s="12" t="s">
        <v>1360</v>
      </c>
      <c r="H183" s="11"/>
      <c r="I183" s="13">
        <v>0</v>
      </c>
      <c r="J183" s="13">
        <v>0</v>
      </c>
      <c r="K183" s="14" t="str">
        <f>HYPERLINK("http://publicize.wp.com/","WordPress.com")</f>
        <v>WordPress.com</v>
      </c>
      <c r="L183" s="13">
        <v>594</v>
      </c>
      <c r="M183" s="13">
        <v>533</v>
      </c>
      <c r="N183" s="13">
        <v>15</v>
      </c>
      <c r="O183" s="15"/>
      <c r="P183" s="6">
        <v>41443.480092592596</v>
      </c>
      <c r="Q183" s="11"/>
      <c r="R183" s="17"/>
      <c r="S183" s="11"/>
      <c r="T183" s="11"/>
      <c r="U183" s="10" t="str">
        <f>HYPERLINK("https://pbs.twimg.com/profile_images/378800000010059387/aa879a82ec93b206bc728d3d29afc33a.jpeg","View")</f>
        <v>View</v>
      </c>
    </row>
    <row r="184" spans="1:21" ht="40.799999999999997">
      <c r="A184" s="6">
        <v>43442.586875000001</v>
      </c>
      <c r="B184" s="7" t="str">
        <f>HYPERLINK("https://twitter.com/enriquedediegov","@enriquedediegov")</f>
        <v>@enriquedediegov</v>
      </c>
      <c r="C184" s="8" t="s">
        <v>234</v>
      </c>
      <c r="D184" s="9" t="s">
        <v>1362</v>
      </c>
      <c r="E184" s="10" t="str">
        <f>HYPERLINK("https://twitter.com/enriquedediegov/status/1071390211744124928","1071390211744124928")</f>
        <v>1071390211744124928</v>
      </c>
      <c r="F184" s="12" t="s">
        <v>1364</v>
      </c>
      <c r="G184" s="12" t="s">
        <v>1365</v>
      </c>
      <c r="H184" s="11"/>
      <c r="I184" s="13">
        <v>7</v>
      </c>
      <c r="J184" s="13">
        <v>8</v>
      </c>
      <c r="K184" s="14" t="str">
        <f>HYPERLINK("https://dlvrit.com/","dlvr.it")</f>
        <v>dlvr.it</v>
      </c>
      <c r="L184" s="13">
        <v>7792</v>
      </c>
      <c r="M184" s="13">
        <v>6053</v>
      </c>
      <c r="N184" s="13">
        <v>179</v>
      </c>
      <c r="O184" s="15"/>
      <c r="P184" s="6">
        <v>41293.717129629629</v>
      </c>
      <c r="Q184" s="18" t="s">
        <v>42</v>
      </c>
      <c r="R184" s="19" t="s">
        <v>239</v>
      </c>
      <c r="S184" s="12" t="s">
        <v>240</v>
      </c>
      <c r="T184" s="11"/>
      <c r="U184" s="10" t="str">
        <f>HYPERLINK("https://pbs.twimg.com/profile_images/3129623790/4ae197d01442e05dee4622297c3b9642.jpeg","View")</f>
        <v>View</v>
      </c>
    </row>
    <row r="185" spans="1:21" ht="81.599999999999994">
      <c r="A185" s="6">
        <v>43442.586493055554</v>
      </c>
      <c r="B185" s="7" t="str">
        <f>HYPERLINK("https://twitter.com/MontserratVaNo","@MontserratVaNo")</f>
        <v>@MontserratVaNo</v>
      </c>
      <c r="C185" s="8" t="s">
        <v>364</v>
      </c>
      <c r="D185" s="9" t="s">
        <v>365</v>
      </c>
      <c r="E185" s="10" t="str">
        <f>HYPERLINK("https://twitter.com/MontserratVaNo/status/1071390072384167936","1071390072384167936")</f>
        <v>1071390072384167936</v>
      </c>
      <c r="F185" s="18" t="s">
        <v>368</v>
      </c>
      <c r="G185" s="11"/>
      <c r="H185" s="11"/>
      <c r="I185" s="13">
        <v>0</v>
      </c>
      <c r="J185" s="13">
        <v>1</v>
      </c>
      <c r="K185" s="14" t="str">
        <f t="shared" ref="K185:K186" si="29">HYPERLINK("http://twitter.com/download/android","Twitter for Android")</f>
        <v>Twitter for Android</v>
      </c>
      <c r="L185" s="13">
        <v>1450</v>
      </c>
      <c r="M185" s="13">
        <v>1340</v>
      </c>
      <c r="N185" s="13">
        <v>56</v>
      </c>
      <c r="O185" s="15"/>
      <c r="P185" s="6">
        <v>40215.735185185185</v>
      </c>
      <c r="Q185" s="18" t="s">
        <v>370</v>
      </c>
      <c r="R185" s="19" t="s">
        <v>371</v>
      </c>
      <c r="S185" s="12" t="s">
        <v>372</v>
      </c>
      <c r="T185" s="11"/>
      <c r="U185" s="10" t="str">
        <f>HYPERLINK("https://pbs.twimg.com/profile_images/1046691622023569408/-HPRaitg.jpg","View")</f>
        <v>View</v>
      </c>
    </row>
    <row r="186" spans="1:21" ht="20.399999999999999">
      <c r="A186" s="6">
        <v>43442.585462962961</v>
      </c>
      <c r="B186" s="7" t="str">
        <f>HYPERLINK("https://twitter.com/Jorosa47","@Jorosa47")</f>
        <v>@Jorosa47</v>
      </c>
      <c r="C186" s="8" t="s">
        <v>1371</v>
      </c>
      <c r="D186" s="9" t="s">
        <v>84</v>
      </c>
      <c r="E186" s="10" t="str">
        <f>HYPERLINK("https://twitter.com/Jorosa47/status/1071389699657396226","1071389699657396226")</f>
        <v>1071389699657396226</v>
      </c>
      <c r="F186" s="12" t="s">
        <v>86</v>
      </c>
      <c r="G186" s="11"/>
      <c r="H186" s="11"/>
      <c r="I186" s="13">
        <v>0</v>
      </c>
      <c r="J186" s="13">
        <v>0</v>
      </c>
      <c r="K186" s="14" t="str">
        <f t="shared" si="29"/>
        <v>Twitter for Android</v>
      </c>
      <c r="L186" s="13">
        <v>680</v>
      </c>
      <c r="M186" s="13">
        <v>681</v>
      </c>
      <c r="N186" s="13">
        <v>5</v>
      </c>
      <c r="O186" s="15"/>
      <c r="P186" s="6">
        <v>42433.491261574076</v>
      </c>
      <c r="Q186" s="11"/>
      <c r="R186" s="19" t="s">
        <v>1374</v>
      </c>
      <c r="S186" s="11"/>
      <c r="T186" s="11"/>
      <c r="U186" s="10" t="str">
        <f>HYPERLINK("https://pbs.twimg.com/profile_images/982553609811439616/3TISSh9b.jpg","View")</f>
        <v>View</v>
      </c>
    </row>
    <row r="187" spans="1:21" ht="40.799999999999997">
      <c r="A187" s="6">
        <v>43442.585138888884</v>
      </c>
      <c r="B187" s="7" t="str">
        <f>HYPERLINK("https://twitter.com/openbrat","@openbrat")</f>
        <v>@openbrat</v>
      </c>
      <c r="C187" s="8" t="s">
        <v>1377</v>
      </c>
      <c r="D187" s="9" t="s">
        <v>1378</v>
      </c>
      <c r="E187" s="10" t="str">
        <f>HYPERLINK("https://twitter.com/openbrat/status/1071389580593692673","1071389580593692673")</f>
        <v>1071389580593692673</v>
      </c>
      <c r="F187" s="12" t="s">
        <v>49</v>
      </c>
      <c r="G187" s="11"/>
      <c r="H187" s="11"/>
      <c r="I187" s="13">
        <v>0</v>
      </c>
      <c r="J187" s="13">
        <v>0</v>
      </c>
      <c r="K187" s="14" t="str">
        <f>HYPERLINK("http://twitter.com/download/iphone","Twitter for iPhone")</f>
        <v>Twitter for iPhone</v>
      </c>
      <c r="L187" s="13">
        <v>106</v>
      </c>
      <c r="M187" s="13">
        <v>397</v>
      </c>
      <c r="N187" s="13">
        <v>0</v>
      </c>
      <c r="O187" s="15"/>
      <c r="P187" s="6">
        <v>42966.881226851852</v>
      </c>
      <c r="Q187" s="11"/>
      <c r="R187" s="19" t="s">
        <v>1381</v>
      </c>
      <c r="S187" s="11"/>
      <c r="T187" s="11"/>
      <c r="U187" s="10" t="str">
        <f>HYPERLINK("https://pbs.twimg.com/profile_images/898987412239601664/FOtKkwYT.jpg","View")</f>
        <v>View</v>
      </c>
    </row>
    <row r="188" spans="1:21" ht="40.799999999999997">
      <c r="A188" s="6">
        <v>43442.585081018522</v>
      </c>
      <c r="B188" s="7" t="str">
        <f>HYPERLINK("https://twitter.com/SoyDonNadie","@SoyDonNadie")</f>
        <v>@SoyDonNadie</v>
      </c>
      <c r="C188" s="8" t="s">
        <v>1385</v>
      </c>
      <c r="D188" s="9" t="s">
        <v>1386</v>
      </c>
      <c r="E188" s="10" t="str">
        <f>HYPERLINK("https://twitter.com/SoyDonNadie/status/1071389563082498049","1071389563082498049")</f>
        <v>1071389563082498049</v>
      </c>
      <c r="F188" s="12" t="s">
        <v>49</v>
      </c>
      <c r="G188" s="11"/>
      <c r="H188" s="11"/>
      <c r="I188" s="13">
        <v>0</v>
      </c>
      <c r="J188" s="13">
        <v>0</v>
      </c>
      <c r="K188" s="14" t="str">
        <f>HYPERLINK("http://www.facebook.com/twitter","Facebook")</f>
        <v>Facebook</v>
      </c>
      <c r="L188" s="13">
        <v>946</v>
      </c>
      <c r="M188" s="13">
        <v>2309</v>
      </c>
      <c r="N188" s="13">
        <v>14</v>
      </c>
      <c r="O188" s="15"/>
      <c r="P188" s="6">
        <v>40546.957303240742</v>
      </c>
      <c r="Q188" s="18" t="s">
        <v>307</v>
      </c>
      <c r="R188" s="19" t="s">
        <v>1390</v>
      </c>
      <c r="S188" s="12" t="s">
        <v>1391</v>
      </c>
      <c r="T188" s="11"/>
      <c r="U188" s="10" t="str">
        <f>HYPERLINK("https://pbs.twimg.com/profile_images/1900771571/Don_2520Nadie.JPG","View")</f>
        <v>View</v>
      </c>
    </row>
    <row r="189" spans="1:21" ht="40.799999999999997">
      <c r="A189" s="6">
        <v>43442.584641203706</v>
      </c>
      <c r="B189" s="7" t="str">
        <f>HYPERLINK("https://twitter.com/enriquedediegov","@enriquedediegov")</f>
        <v>@enriquedediegov</v>
      </c>
      <c r="C189" s="8" t="s">
        <v>234</v>
      </c>
      <c r="D189" s="9" t="s">
        <v>235</v>
      </c>
      <c r="E189" s="10" t="str">
        <f>HYPERLINK("https://twitter.com/enriquedediegov/status/1071389403631771649","1071389403631771649")</f>
        <v>1071389403631771649</v>
      </c>
      <c r="F189" s="12" t="s">
        <v>1395</v>
      </c>
      <c r="G189" s="11"/>
      <c r="H189" s="11"/>
      <c r="I189" s="13">
        <v>2</v>
      </c>
      <c r="J189" s="13">
        <v>3</v>
      </c>
      <c r="K189" s="14" t="str">
        <f>HYPERLINK("http://twitter.com","Twitter Web Client")</f>
        <v>Twitter Web Client</v>
      </c>
      <c r="L189" s="13">
        <v>7792</v>
      </c>
      <c r="M189" s="13">
        <v>6053</v>
      </c>
      <c r="N189" s="13">
        <v>179</v>
      </c>
      <c r="O189" s="15"/>
      <c r="P189" s="6">
        <v>41293.717129629629</v>
      </c>
      <c r="Q189" s="18" t="s">
        <v>42</v>
      </c>
      <c r="R189" s="19" t="s">
        <v>239</v>
      </c>
      <c r="S189" s="12" t="s">
        <v>240</v>
      </c>
      <c r="T189" s="11"/>
      <c r="U189" s="10" t="str">
        <f>HYPERLINK("https://pbs.twimg.com/profile_images/3129623790/4ae197d01442e05dee4622297c3b9642.jpeg","View")</f>
        <v>View</v>
      </c>
    </row>
    <row r="190" spans="1:21" ht="51">
      <c r="A190" s="6">
        <v>43442.584537037037</v>
      </c>
      <c r="B190" s="7" t="str">
        <f>HYPERLINK("https://twitter.com/gara_ice","@gara_ice")</f>
        <v>@gara_ice</v>
      </c>
      <c r="C190" s="8" t="s">
        <v>1398</v>
      </c>
      <c r="D190" s="9" t="s">
        <v>1399</v>
      </c>
      <c r="E190" s="10" t="str">
        <f>HYPERLINK("https://twitter.com/gara_ice/status/1071389365048369153","1071389365048369153")</f>
        <v>1071389365048369153</v>
      </c>
      <c r="F190" s="12" t="s">
        <v>1401</v>
      </c>
      <c r="G190" s="11"/>
      <c r="H190" s="11"/>
      <c r="I190" s="13">
        <v>0</v>
      </c>
      <c r="J190" s="13">
        <v>0</v>
      </c>
      <c r="K190" s="14" t="str">
        <f>HYPERLINK("https://ifttt.com","IFTTT")</f>
        <v>IFTTT</v>
      </c>
      <c r="L190" s="13">
        <v>450</v>
      </c>
      <c r="M190" s="13">
        <v>434</v>
      </c>
      <c r="N190" s="13">
        <v>10</v>
      </c>
      <c r="O190" s="15"/>
      <c r="P190" s="6">
        <v>39590.435324074075</v>
      </c>
      <c r="Q190" s="11"/>
      <c r="R190" s="17"/>
      <c r="S190" s="11"/>
      <c r="T190" s="11"/>
      <c r="U190" s="10" t="str">
        <f>HYPERLINK("https://pbs.twimg.com/profile_images/561850533468971008/-4f3cnLr.jpeg","View")</f>
        <v>View</v>
      </c>
    </row>
    <row r="191" spans="1:21" ht="30.6">
      <c r="A191" s="6">
        <v>43442.584409722222</v>
      </c>
      <c r="B191" s="7" t="str">
        <f>HYPERLINK("https://twitter.com/comotelodije","@comotelodije")</f>
        <v>@comotelodije</v>
      </c>
      <c r="C191" s="8" t="s">
        <v>840</v>
      </c>
      <c r="D191" s="9" t="s">
        <v>1404</v>
      </c>
      <c r="E191" s="10" t="str">
        <f>HYPERLINK("https://twitter.com/comotelodije/status/1071389318781067265","1071389318781067265")</f>
        <v>1071389318781067265</v>
      </c>
      <c r="F191" s="18" t="s">
        <v>1406</v>
      </c>
      <c r="G191" s="11"/>
      <c r="H191" s="11"/>
      <c r="I191" s="13">
        <v>0</v>
      </c>
      <c r="J191" s="13">
        <v>0</v>
      </c>
      <c r="K191" s="14" t="str">
        <f t="shared" ref="K191:K192" si="30">HYPERLINK("http://twitter.com/download/iphone","Twitter for iPhone")</f>
        <v>Twitter for iPhone</v>
      </c>
      <c r="L191" s="13">
        <v>72</v>
      </c>
      <c r="M191" s="13">
        <v>265</v>
      </c>
      <c r="N191" s="13">
        <v>0</v>
      </c>
      <c r="O191" s="15"/>
      <c r="P191" s="6">
        <v>40871.842465277776</v>
      </c>
      <c r="Q191" s="18" t="s">
        <v>42</v>
      </c>
      <c r="R191" s="17"/>
      <c r="S191" s="11"/>
      <c r="T191" s="11"/>
      <c r="U191" s="10" t="str">
        <f>HYPERLINK("https://pbs.twimg.com/profile_images/876852367676895235/Zuqd9LpM.jpg","View")</f>
        <v>View</v>
      </c>
    </row>
    <row r="192" spans="1:21" ht="51">
      <c r="A192" s="6">
        <v>43442.582534722227</v>
      </c>
      <c r="B192" s="7" t="str">
        <f>HYPERLINK("https://twitter.com/EugenioGisbert","@EugenioGisbert")</f>
        <v>@EugenioGisbert</v>
      </c>
      <c r="C192" s="8" t="s">
        <v>1411</v>
      </c>
      <c r="D192" s="9" t="s">
        <v>1412</v>
      </c>
      <c r="E192" s="10" t="str">
        <f>HYPERLINK("https://twitter.com/EugenioGisbert/status/1071388637936394240","1071388637936394240")</f>
        <v>1071388637936394240</v>
      </c>
      <c r="F192" s="18" t="s">
        <v>1414</v>
      </c>
      <c r="G192" s="11"/>
      <c r="H192" s="11"/>
      <c r="I192" s="13">
        <v>0</v>
      </c>
      <c r="J192" s="13">
        <v>0</v>
      </c>
      <c r="K192" s="14" t="str">
        <f t="shared" si="30"/>
        <v>Twitter for iPhone</v>
      </c>
      <c r="L192" s="13">
        <v>40</v>
      </c>
      <c r="M192" s="13">
        <v>142</v>
      </c>
      <c r="N192" s="13">
        <v>0</v>
      </c>
      <c r="O192" s="15"/>
      <c r="P192" s="6">
        <v>43133.839050925926</v>
      </c>
      <c r="Q192" s="11"/>
      <c r="R192" s="17"/>
      <c r="S192" s="11"/>
      <c r="T192" s="11"/>
      <c r="U192" s="16" t="s">
        <v>191</v>
      </c>
    </row>
    <row r="193" spans="1:21" ht="51">
      <c r="A193" s="6">
        <v>43442.582361111112</v>
      </c>
      <c r="B193" s="7" t="str">
        <f>HYPERLINK("https://twitter.com/PYmepa","@PYmepa")</f>
        <v>@PYmepa</v>
      </c>
      <c r="C193" s="8" t="s">
        <v>373</v>
      </c>
      <c r="D193" s="9" t="s">
        <v>374</v>
      </c>
      <c r="E193" s="10" t="str">
        <f>HYPERLINK("https://twitter.com/PYmepa/status/1071388576364093442","1071388576364093442")</f>
        <v>1071388576364093442</v>
      </c>
      <c r="F193" s="18" t="s">
        <v>375</v>
      </c>
      <c r="G193" s="11"/>
      <c r="H193" s="11"/>
      <c r="I193" s="13">
        <v>0</v>
      </c>
      <c r="J193" s="13">
        <v>0</v>
      </c>
      <c r="K193" s="14" t="str">
        <f>HYPERLINK("http://twitter.com/#!/download/ipad","Twitter for iPad")</f>
        <v>Twitter for iPad</v>
      </c>
      <c r="L193" s="13">
        <v>263</v>
      </c>
      <c r="M193" s="13">
        <v>525</v>
      </c>
      <c r="N193" s="13">
        <v>5</v>
      </c>
      <c r="O193" s="15"/>
      <c r="P193" s="6">
        <v>42848.882696759261</v>
      </c>
      <c r="Q193" s="18" t="s">
        <v>173</v>
      </c>
      <c r="R193" s="19" t="s">
        <v>378</v>
      </c>
      <c r="S193" s="11"/>
      <c r="T193" s="11"/>
      <c r="U193" s="10" t="str">
        <f>HYPERLINK("https://pbs.twimg.com/profile_images/856436170418532352/8hamjZj-.jpg","View")</f>
        <v>View</v>
      </c>
    </row>
    <row r="194" spans="1:21" ht="40.799999999999997">
      <c r="A194" s="6">
        <v>43442.580625000002</v>
      </c>
      <c r="B194" s="7" t="str">
        <f>HYPERLINK("https://twitter.com/cosimiranda","@cosimiranda")</f>
        <v>@cosimiranda</v>
      </c>
      <c r="C194" s="8" t="s">
        <v>1422</v>
      </c>
      <c r="D194" s="9" t="s">
        <v>1152</v>
      </c>
      <c r="E194" s="10" t="str">
        <f>HYPERLINK("https://twitter.com/cosimiranda/status/1071387945461014529","1071387945461014529")</f>
        <v>1071387945461014529</v>
      </c>
      <c r="F194" s="12" t="s">
        <v>1423</v>
      </c>
      <c r="G194" s="11"/>
      <c r="H194" s="11"/>
      <c r="I194" s="13">
        <v>0</v>
      </c>
      <c r="J194" s="13">
        <v>0</v>
      </c>
      <c r="K194" s="14" t="str">
        <f>HYPERLINK("http://twitter.com","Twitter Web Client")</f>
        <v>Twitter Web Client</v>
      </c>
      <c r="L194" s="13">
        <v>675</v>
      </c>
      <c r="M194" s="13">
        <v>1502</v>
      </c>
      <c r="N194" s="13">
        <v>14</v>
      </c>
      <c r="O194" s="15"/>
      <c r="P194" s="6">
        <v>40678.677025462966</v>
      </c>
      <c r="Q194" s="18" t="s">
        <v>601</v>
      </c>
      <c r="R194" s="19" t="s">
        <v>1425</v>
      </c>
      <c r="S194" s="11"/>
      <c r="T194" s="11"/>
      <c r="U194" s="10" t="str">
        <f>HYPERLINK("https://pbs.twimg.com/profile_images/1061535253410521088/-DxP8Ljb.jpg","View")</f>
        <v>View</v>
      </c>
    </row>
    <row r="195" spans="1:21" ht="51">
      <c r="A195" s="6">
        <v>43442.580543981487</v>
      </c>
      <c r="B195" s="7" t="str">
        <f>HYPERLINK("https://twitter.com/ArizaCotilla","@ArizaCotilla")</f>
        <v>@ArizaCotilla</v>
      </c>
      <c r="C195" s="8" t="s">
        <v>1427</v>
      </c>
      <c r="D195" s="9" t="s">
        <v>1428</v>
      </c>
      <c r="E195" s="10" t="str">
        <f>HYPERLINK("https://twitter.com/ArizaCotilla/status/1071387919057862657","1071387919057862657")</f>
        <v>1071387919057862657</v>
      </c>
      <c r="F195" s="11"/>
      <c r="G195" s="11"/>
      <c r="H195" s="11"/>
      <c r="I195" s="13">
        <v>0</v>
      </c>
      <c r="J195" s="13">
        <v>1</v>
      </c>
      <c r="K195" s="14" t="str">
        <f>HYPERLINK("http://twitter.com/download/android","Twitter for Android")</f>
        <v>Twitter for Android</v>
      </c>
      <c r="L195" s="13">
        <v>1148</v>
      </c>
      <c r="M195" s="13">
        <v>1719</v>
      </c>
      <c r="N195" s="13">
        <v>16</v>
      </c>
      <c r="O195" s="15"/>
      <c r="P195" s="6">
        <v>42015.568287037036</v>
      </c>
      <c r="Q195" s="18" t="s">
        <v>1430</v>
      </c>
      <c r="R195" s="19" t="s">
        <v>1431</v>
      </c>
      <c r="S195" s="11"/>
      <c r="T195" s="11"/>
      <c r="U195" s="10" t="str">
        <f>HYPERLINK("https://pbs.twimg.com/profile_images/1022188707410010112/bMnxKHBm.jpg","View")</f>
        <v>View</v>
      </c>
    </row>
    <row r="196" spans="1:21" ht="40.799999999999997">
      <c r="A196" s="6">
        <v>43442.579918981486</v>
      </c>
      <c r="B196" s="7" t="str">
        <f>HYPERLINK("https://twitter.com/PdeSamos","@PdeSamos")</f>
        <v>@PdeSamos</v>
      </c>
      <c r="C196" s="8" t="s">
        <v>1432</v>
      </c>
      <c r="D196" s="9" t="s">
        <v>1331</v>
      </c>
      <c r="E196" s="10" t="str">
        <f>HYPERLINK("https://twitter.com/PdeSamos/status/1071387692116688896","1071387692116688896")</f>
        <v>1071387692116688896</v>
      </c>
      <c r="F196" s="12" t="s">
        <v>1334</v>
      </c>
      <c r="G196" s="11"/>
      <c r="H196" s="11"/>
      <c r="I196" s="13">
        <v>0</v>
      </c>
      <c r="J196" s="13">
        <v>0</v>
      </c>
      <c r="K196" s="14" t="str">
        <f>HYPERLINK("http://republico.ddns.net","App Libertad PdeSamos")</f>
        <v>App Libertad PdeSamos</v>
      </c>
      <c r="L196" s="13">
        <v>5398</v>
      </c>
      <c r="M196" s="13">
        <v>5441</v>
      </c>
      <c r="N196" s="13">
        <v>12</v>
      </c>
      <c r="O196" s="15"/>
      <c r="P196" s="6">
        <v>42889.820567129631</v>
      </c>
      <c r="Q196" s="18" t="s">
        <v>1336</v>
      </c>
      <c r="R196" s="19" t="s">
        <v>1438</v>
      </c>
      <c r="S196" s="11"/>
      <c r="T196" s="11"/>
      <c r="U196" s="10" t="str">
        <f>HYPERLINK("https://pbs.twimg.com/profile_images/871063742003511296/xK2IYbrO.jpg","View")</f>
        <v>View</v>
      </c>
    </row>
    <row r="197" spans="1:21" ht="51">
      <c r="A197" s="6">
        <v>43442.579895833333</v>
      </c>
      <c r="B197" s="7" t="str">
        <f>HYPERLINK("https://twitter.com/mardeblue","@mardeblue")</f>
        <v>@mardeblue</v>
      </c>
      <c r="C197" s="8" t="s">
        <v>379</v>
      </c>
      <c r="D197" s="9" t="s">
        <v>380</v>
      </c>
      <c r="E197" s="10" t="str">
        <f>HYPERLINK("https://twitter.com/mardeblue/status/1071387683405135873","1071387683405135873")</f>
        <v>1071387683405135873</v>
      </c>
      <c r="F197" s="11"/>
      <c r="G197" s="11"/>
      <c r="H197" s="11"/>
      <c r="I197" s="13">
        <v>1</v>
      </c>
      <c r="J197" s="13">
        <v>1</v>
      </c>
      <c r="K197" s="14" t="str">
        <f>HYPERLINK("http://twitter.com/download/android","Twitter for Android")</f>
        <v>Twitter for Android</v>
      </c>
      <c r="L197" s="13">
        <v>259</v>
      </c>
      <c r="M197" s="13">
        <v>958</v>
      </c>
      <c r="N197" s="13">
        <v>0</v>
      </c>
      <c r="O197" s="15"/>
      <c r="P197" s="6">
        <v>42055.908275462964</v>
      </c>
      <c r="Q197" s="18" t="s">
        <v>384</v>
      </c>
      <c r="R197" s="19" t="s">
        <v>385</v>
      </c>
      <c r="S197" s="11"/>
      <c r="T197" s="11"/>
      <c r="U197" s="10" t="str">
        <f>HYPERLINK("https://pbs.twimg.com/profile_images/1029434025478422528/Q_CJCGEc.jpg","View")</f>
        <v>View</v>
      </c>
    </row>
    <row r="198" spans="1:21" ht="30.6">
      <c r="A198" s="6">
        <v>43442.57949074074</v>
      </c>
      <c r="B198" s="7" t="str">
        <f>HYPERLINK("https://twitter.com/Antonio_J_Ruiz","@Antonio_J_Ruiz")</f>
        <v>@Antonio_J_Ruiz</v>
      </c>
      <c r="C198" s="8" t="s">
        <v>1440</v>
      </c>
      <c r="D198" s="9" t="s">
        <v>1441</v>
      </c>
      <c r="E198" s="10" t="str">
        <f>HYPERLINK("https://twitter.com/Antonio_J_Ruiz/status/1071387537103564800","1071387537103564800")</f>
        <v>1071387537103564800</v>
      </c>
      <c r="F198" s="12" t="s">
        <v>1443</v>
      </c>
      <c r="G198" s="11"/>
      <c r="H198" s="11"/>
      <c r="I198" s="13">
        <v>0</v>
      </c>
      <c r="J198" s="13">
        <v>0</v>
      </c>
      <c r="K198" s="14" t="str">
        <f>HYPERLINK("https://www.google.com/","Google")</f>
        <v>Google</v>
      </c>
      <c r="L198" s="13">
        <v>196</v>
      </c>
      <c r="M198" s="13">
        <v>369</v>
      </c>
      <c r="N198" s="13">
        <v>2</v>
      </c>
      <c r="O198" s="15"/>
      <c r="P198" s="6">
        <v>41357.769641203704</v>
      </c>
      <c r="Q198" s="11"/>
      <c r="R198" s="19" t="s">
        <v>1444</v>
      </c>
      <c r="S198" s="11"/>
      <c r="T198" s="11"/>
      <c r="U198" s="16" t="s">
        <v>191</v>
      </c>
    </row>
    <row r="199" spans="1:21" ht="20.399999999999999">
      <c r="A199" s="6">
        <v>43442.578518518523</v>
      </c>
      <c r="B199" s="7" t="str">
        <f>HYPERLINK("https://twitter.com/Merryn00","@Merryn00")</f>
        <v>@Merryn00</v>
      </c>
      <c r="C199" s="8" t="s">
        <v>1445</v>
      </c>
      <c r="D199" s="9" t="s">
        <v>1446</v>
      </c>
      <c r="E199" s="10" t="str">
        <f>HYPERLINK("https://twitter.com/Merryn00/status/1071387183976669186","1071387183976669186")</f>
        <v>1071387183976669186</v>
      </c>
      <c r="F199" s="12" t="s">
        <v>1447</v>
      </c>
      <c r="G199" s="12" t="s">
        <v>1448</v>
      </c>
      <c r="H199" s="11"/>
      <c r="I199" s="13">
        <v>0</v>
      </c>
      <c r="J199" s="13">
        <v>0</v>
      </c>
      <c r="K199" s="14" t="str">
        <f>HYPERLINK("https://dlvrit.com/","dlvr.it")</f>
        <v>dlvr.it</v>
      </c>
      <c r="L199" s="13">
        <v>28</v>
      </c>
      <c r="M199" s="13">
        <v>13</v>
      </c>
      <c r="N199" s="13">
        <v>2</v>
      </c>
      <c r="O199" s="15"/>
      <c r="P199" s="6">
        <v>41886.439212962963</v>
      </c>
      <c r="Q199" s="11"/>
      <c r="R199" s="17"/>
      <c r="S199" s="11"/>
      <c r="T199" s="11"/>
      <c r="U199" s="10" t="str">
        <f>HYPERLINK("https://pbs.twimg.com/profile_images/803657198521950209/rqriGJvb.jpg","View")</f>
        <v>View</v>
      </c>
    </row>
    <row r="200" spans="1:21" ht="51">
      <c r="A200" s="6">
        <v>43442.577974537038</v>
      </c>
      <c r="B200" s="7" t="str">
        <f>HYPERLINK("https://twitter.com/Dabliugg","@Dabliugg")</f>
        <v>@Dabliugg</v>
      </c>
      <c r="C200" s="8" t="s">
        <v>1449</v>
      </c>
      <c r="D200" s="9" t="s">
        <v>1450</v>
      </c>
      <c r="E200" s="10" t="str">
        <f>HYPERLINK("https://twitter.com/Dabliugg/status/1071386986857021440","1071386986857021440")</f>
        <v>1071386986857021440</v>
      </c>
      <c r="F200" s="12" t="s">
        <v>280</v>
      </c>
      <c r="G200" s="11"/>
      <c r="H200" s="11"/>
      <c r="I200" s="13">
        <v>0</v>
      </c>
      <c r="J200" s="13">
        <v>0</v>
      </c>
      <c r="K200" s="14" t="str">
        <f>HYPERLINK("http://twitter.com/download/android","Twitter for Android")</f>
        <v>Twitter for Android</v>
      </c>
      <c r="L200" s="13">
        <v>3</v>
      </c>
      <c r="M200" s="13">
        <v>24</v>
      </c>
      <c r="N200" s="13">
        <v>2</v>
      </c>
      <c r="O200" s="15"/>
      <c r="P200" s="6">
        <v>43128.909722222219</v>
      </c>
      <c r="Q200" s="11"/>
      <c r="R200" s="17"/>
      <c r="S200" s="11"/>
      <c r="T200" s="11"/>
      <c r="U200" s="16" t="s">
        <v>191</v>
      </c>
    </row>
    <row r="201" spans="1:21" ht="40.799999999999997">
      <c r="A201" s="6">
        <v>43442.577592592592</v>
      </c>
      <c r="B201" s="7" t="str">
        <f>HYPERLINK("https://twitter.com/sodio22","@sodio22")</f>
        <v>@sodio22</v>
      </c>
      <c r="C201" s="8" t="s">
        <v>1451</v>
      </c>
      <c r="D201" s="9" t="s">
        <v>1452</v>
      </c>
      <c r="E201" s="10" t="str">
        <f>HYPERLINK("https://twitter.com/sodio22/status/1071386849560682496","1071386849560682496")</f>
        <v>1071386849560682496</v>
      </c>
      <c r="F201" s="12" t="s">
        <v>296</v>
      </c>
      <c r="G201" s="11"/>
      <c r="H201" s="11"/>
      <c r="I201" s="13">
        <v>0</v>
      </c>
      <c r="J201" s="13">
        <v>0</v>
      </c>
      <c r="K201" s="14" t="str">
        <f>HYPERLINK("http://twitter.com","Twitter Web Client")</f>
        <v>Twitter Web Client</v>
      </c>
      <c r="L201" s="13">
        <v>341</v>
      </c>
      <c r="M201" s="13">
        <v>660</v>
      </c>
      <c r="N201" s="13">
        <v>8</v>
      </c>
      <c r="O201" s="15"/>
      <c r="P201" s="6">
        <v>40898.627951388888</v>
      </c>
      <c r="Q201" s="11"/>
      <c r="R201" s="19" t="s">
        <v>1455</v>
      </c>
      <c r="S201" s="11"/>
      <c r="T201" s="11"/>
      <c r="U201" s="10" t="str">
        <f>HYPERLINK("https://pbs.twimg.com/profile_images/896939923525251072/2WFW3aE5.jpg","View")</f>
        <v>View</v>
      </c>
    </row>
    <row r="202" spans="1:21" ht="30.6">
      <c r="A202" s="6">
        <v>43442.577187499999</v>
      </c>
      <c r="B202" s="7" t="str">
        <f>HYPERLINK("https://twitter.com/soniagigu","@soniagigu")</f>
        <v>@soniagigu</v>
      </c>
      <c r="C202" s="8" t="s">
        <v>1457</v>
      </c>
      <c r="D202" s="9" t="s">
        <v>612</v>
      </c>
      <c r="E202" s="10" t="str">
        <f>HYPERLINK("https://twitter.com/soniagigu/status/1071386698653855744","1071386698653855744")</f>
        <v>1071386698653855744</v>
      </c>
      <c r="F202" s="12" t="s">
        <v>49</v>
      </c>
      <c r="G202" s="11"/>
      <c r="H202" s="11"/>
      <c r="I202" s="13">
        <v>0</v>
      </c>
      <c r="J202" s="13">
        <v>0</v>
      </c>
      <c r="K202" s="14" t="str">
        <f t="shared" ref="K202:K203" si="31">HYPERLINK("http://twitter.com/download/android","Twitter for Android")</f>
        <v>Twitter for Android</v>
      </c>
      <c r="L202" s="13">
        <v>239</v>
      </c>
      <c r="M202" s="13">
        <v>270</v>
      </c>
      <c r="N202" s="13">
        <v>20</v>
      </c>
      <c r="O202" s="15"/>
      <c r="P202" s="6">
        <v>41144.645694444444</v>
      </c>
      <c r="Q202" s="18" t="s">
        <v>1458</v>
      </c>
      <c r="R202" s="19" t="s">
        <v>1459</v>
      </c>
      <c r="S202" s="12" t="s">
        <v>1460</v>
      </c>
      <c r="T202" s="11"/>
      <c r="U202" s="10" t="str">
        <f>HYPERLINK("https://pbs.twimg.com/profile_images/653487807948845057/ouDRoZBO.jpg","View")</f>
        <v>View</v>
      </c>
    </row>
    <row r="203" spans="1:21" ht="51">
      <c r="A203" s="6">
        <v>43442.577094907407</v>
      </c>
      <c r="B203" s="7" t="str">
        <f>HYPERLINK("https://twitter.com/cristianCJH97","@cristianCJH97")</f>
        <v>@cristianCJH97</v>
      </c>
      <c r="C203" s="8" t="s">
        <v>388</v>
      </c>
      <c r="D203" s="9" t="s">
        <v>389</v>
      </c>
      <c r="E203" s="10" t="str">
        <f>HYPERLINK("https://twitter.com/cristianCJH97/status/1071386666466709504","1071386666466709504")</f>
        <v>1071386666466709504</v>
      </c>
      <c r="F203" s="11"/>
      <c r="G203" s="12" t="s">
        <v>392</v>
      </c>
      <c r="H203" s="11"/>
      <c r="I203" s="13">
        <v>1</v>
      </c>
      <c r="J203" s="13">
        <v>1</v>
      </c>
      <c r="K203" s="14" t="str">
        <f t="shared" si="31"/>
        <v>Twitter for Android</v>
      </c>
      <c r="L203" s="13">
        <v>62</v>
      </c>
      <c r="M203" s="13">
        <v>193</v>
      </c>
      <c r="N203" s="13">
        <v>1</v>
      </c>
      <c r="O203" s="15"/>
      <c r="P203" s="6">
        <v>41777.942546296297</v>
      </c>
      <c r="Q203" s="18" t="s">
        <v>396</v>
      </c>
      <c r="R203" s="17"/>
      <c r="S203" s="11"/>
      <c r="T203" s="11"/>
      <c r="U203" s="10" t="str">
        <f>HYPERLINK("https://pbs.twimg.com/profile_images/794858200491290624/d6uSs9k9.jpg","View")</f>
        <v>View</v>
      </c>
    </row>
    <row r="204" spans="1:21" ht="20.399999999999999">
      <c r="A204" s="6">
        <v>43442.577013888891</v>
      </c>
      <c r="B204" s="7" t="str">
        <f>HYPERLINK("https://twitter.com/AlfonsoRojoPD","@AlfonsoRojoPD")</f>
        <v>@AlfonsoRojoPD</v>
      </c>
      <c r="C204" s="8" t="s">
        <v>1464</v>
      </c>
      <c r="D204" s="9" t="s">
        <v>1034</v>
      </c>
      <c r="E204" s="10" t="str">
        <f>HYPERLINK("https://twitter.com/AlfonsoRojoPD/status/1071386636863369216","1071386636863369216")</f>
        <v>1071386636863369216</v>
      </c>
      <c r="F204" s="12" t="s">
        <v>1466</v>
      </c>
      <c r="G204" s="11"/>
      <c r="H204" s="11"/>
      <c r="I204" s="13">
        <v>5</v>
      </c>
      <c r="J204" s="13">
        <v>8</v>
      </c>
      <c r="K204" s="14" t="str">
        <f>HYPERLINK("http://twitter.com","Twitter Web Client")</f>
        <v>Twitter Web Client</v>
      </c>
      <c r="L204" s="13">
        <v>49129</v>
      </c>
      <c r="M204" s="13">
        <v>0</v>
      </c>
      <c r="N204" s="13">
        <v>677</v>
      </c>
      <c r="O204" s="16" t="s">
        <v>25</v>
      </c>
      <c r="P204" s="6">
        <v>41704.447048611109</v>
      </c>
      <c r="Q204" s="18" t="s">
        <v>307</v>
      </c>
      <c r="R204" s="19" t="s">
        <v>1470</v>
      </c>
      <c r="S204" s="12" t="s">
        <v>1471</v>
      </c>
      <c r="T204" s="11"/>
      <c r="U204" s="10" t="str">
        <f>HYPERLINK("https://pbs.twimg.com/profile_images/441511791210663936/QbI_6aXh.jpeg","View")</f>
        <v>View</v>
      </c>
    </row>
    <row r="205" spans="1:21" ht="20.399999999999999">
      <c r="A205" s="6">
        <v>43442.576574074075</v>
      </c>
      <c r="B205" s="7" t="str">
        <f>HYPERLINK("https://twitter.com/maricar77205555","@maricar77205555")</f>
        <v>@maricar77205555</v>
      </c>
      <c r="C205" s="8" t="s">
        <v>1474</v>
      </c>
      <c r="D205" s="9" t="s">
        <v>1475</v>
      </c>
      <c r="E205" s="10" t="str">
        <f>HYPERLINK("https://twitter.com/maricar77205555/status/1071386476351512576","1071386476351512576")</f>
        <v>1071386476351512576</v>
      </c>
      <c r="F205" s="12" t="s">
        <v>1477</v>
      </c>
      <c r="G205" s="11"/>
      <c r="H205" s="11"/>
      <c r="I205" s="13">
        <v>0</v>
      </c>
      <c r="J205" s="13">
        <v>0</v>
      </c>
      <c r="K205" s="14" t="str">
        <f>HYPERLINK("http://twitter.com/download/iphone","Twitter for iPhone")</f>
        <v>Twitter for iPhone</v>
      </c>
      <c r="L205" s="13">
        <v>79</v>
      </c>
      <c r="M205" s="13">
        <v>197</v>
      </c>
      <c r="N205" s="13">
        <v>0</v>
      </c>
      <c r="O205" s="15"/>
      <c r="P205" s="6">
        <v>43352.773391203707</v>
      </c>
      <c r="Q205" s="11"/>
      <c r="R205" s="17"/>
      <c r="S205" s="11"/>
      <c r="T205" s="11"/>
      <c r="U205" s="10" t="str">
        <f>HYPERLINK("https://pbs.twimg.com/profile_images/1061543198831579136/ErwaYlwE.jpg","View")</f>
        <v>View</v>
      </c>
    </row>
    <row r="206" spans="1:21" ht="40.799999999999997">
      <c r="A206" s="6">
        <v>43442.575729166667</v>
      </c>
      <c r="B206" s="7" t="str">
        <f>HYPERLINK("https://twitter.com/BailonHomer","@BailonHomer")</f>
        <v>@BailonHomer</v>
      </c>
      <c r="C206" s="8" t="s">
        <v>397</v>
      </c>
      <c r="D206" s="9" t="s">
        <v>398</v>
      </c>
      <c r="E206" s="10" t="str">
        <f>HYPERLINK("https://twitter.com/BailonHomer/status/1071386173883453440","1071386173883453440")</f>
        <v>1071386173883453440</v>
      </c>
      <c r="F206" s="11"/>
      <c r="G206" s="12" t="s">
        <v>399</v>
      </c>
      <c r="H206" s="11"/>
      <c r="I206" s="13">
        <v>0</v>
      </c>
      <c r="J206" s="13">
        <v>0</v>
      </c>
      <c r="K206" s="14" t="str">
        <f t="shared" ref="K206:K207" si="32">HYPERLINK("http://twitter.com","Twitter Web Client")</f>
        <v>Twitter Web Client</v>
      </c>
      <c r="L206" s="13">
        <v>50</v>
      </c>
      <c r="M206" s="13">
        <v>161</v>
      </c>
      <c r="N206" s="13">
        <v>0</v>
      </c>
      <c r="O206" s="15"/>
      <c r="P206" s="6">
        <v>43323.950752314813</v>
      </c>
      <c r="Q206" s="18" t="s">
        <v>400</v>
      </c>
      <c r="R206" s="19" t="s">
        <v>401</v>
      </c>
      <c r="S206" s="11"/>
      <c r="T206" s="11"/>
      <c r="U206" s="10" t="str">
        <f>HYPERLINK("https://pbs.twimg.com/profile_images/1028387690348208128/hg7dqzUd.jpg","View")</f>
        <v>View</v>
      </c>
    </row>
    <row r="207" spans="1:21" ht="20.399999999999999">
      <c r="A207" s="6">
        <v>43442.575162037036</v>
      </c>
      <c r="B207" s="7" t="str">
        <f>HYPERLINK("https://twitter.com/AlfonsoRojoPD","@AlfonsoRojoPD")</f>
        <v>@AlfonsoRojoPD</v>
      </c>
      <c r="C207" s="8" t="s">
        <v>1464</v>
      </c>
      <c r="D207" s="9" t="s">
        <v>1094</v>
      </c>
      <c r="E207" s="10" t="str">
        <f>HYPERLINK("https://twitter.com/AlfonsoRojoPD/status/1071385966168952832","1071385966168952832")</f>
        <v>1071385966168952832</v>
      </c>
      <c r="F207" s="12" t="s">
        <v>149</v>
      </c>
      <c r="G207" s="11"/>
      <c r="H207" s="11"/>
      <c r="I207" s="13">
        <v>40</v>
      </c>
      <c r="J207" s="13">
        <v>64</v>
      </c>
      <c r="K207" s="14" t="str">
        <f t="shared" si="32"/>
        <v>Twitter Web Client</v>
      </c>
      <c r="L207" s="13">
        <v>49129</v>
      </c>
      <c r="M207" s="13">
        <v>0</v>
      </c>
      <c r="N207" s="13">
        <v>677</v>
      </c>
      <c r="O207" s="16" t="s">
        <v>25</v>
      </c>
      <c r="P207" s="6">
        <v>41704.447048611109</v>
      </c>
      <c r="Q207" s="18" t="s">
        <v>307</v>
      </c>
      <c r="R207" s="19" t="s">
        <v>1470</v>
      </c>
      <c r="S207" s="12" t="s">
        <v>1471</v>
      </c>
      <c r="T207" s="11"/>
      <c r="U207" s="10" t="str">
        <f>HYPERLINK("https://pbs.twimg.com/profile_images/441511791210663936/QbI_6aXh.jpeg","View")</f>
        <v>View</v>
      </c>
    </row>
    <row r="208" spans="1:21" ht="30.6">
      <c r="A208" s="6">
        <v>43442.574999999997</v>
      </c>
      <c r="B208" s="7" t="str">
        <f>HYPERLINK("https://twitter.com/ElHuffPost","@ElHuffPost")</f>
        <v>@ElHuffPost</v>
      </c>
      <c r="C208" s="8" t="s">
        <v>517</v>
      </c>
      <c r="D208" s="9" t="s">
        <v>1494</v>
      </c>
      <c r="E208" s="10" t="str">
        <f>HYPERLINK("https://twitter.com/ElHuffPost/status/1071385907113078786","1071385907113078786")</f>
        <v>1071385907113078786</v>
      </c>
      <c r="F208" s="12" t="s">
        <v>818</v>
      </c>
      <c r="G208" s="11"/>
      <c r="H208" s="11"/>
      <c r="I208" s="13">
        <v>0</v>
      </c>
      <c r="J208" s="13">
        <v>1</v>
      </c>
      <c r="K208" s="14" t="str">
        <f>HYPERLINK("https://about.twitter.com/products/tweetdeck","TweetDeck")</f>
        <v>TweetDeck</v>
      </c>
      <c r="L208" s="13">
        <v>431181</v>
      </c>
      <c r="M208" s="13">
        <v>1551</v>
      </c>
      <c r="N208" s="13">
        <v>8205</v>
      </c>
      <c r="O208" s="16" t="s">
        <v>25</v>
      </c>
      <c r="P208" s="6">
        <v>40785.027118055557</v>
      </c>
      <c r="Q208" s="18" t="s">
        <v>100</v>
      </c>
      <c r="R208" s="19" t="s">
        <v>523</v>
      </c>
      <c r="S208" s="12" t="s">
        <v>524</v>
      </c>
      <c r="T208" s="11"/>
      <c r="U208" s="10" t="str">
        <f>HYPERLINK("https://pbs.twimg.com/profile_images/921140803422089217/ETOEUOAx.jpg","View")</f>
        <v>View</v>
      </c>
    </row>
    <row r="209" spans="1:21" ht="13.2">
      <c r="A209" s="6">
        <v>43442.574444444443</v>
      </c>
      <c r="B209" s="7" t="str">
        <f>HYPERLINK("https://twitter.com/19Janire","@19Janire")</f>
        <v>@19Janire</v>
      </c>
      <c r="C209" s="8" t="s">
        <v>1504</v>
      </c>
      <c r="D209" s="9" t="s">
        <v>612</v>
      </c>
      <c r="E209" s="10" t="str">
        <f>HYPERLINK("https://twitter.com/19Janire/status/1071385704998100992","1071385704998100992")</f>
        <v>1071385704998100992</v>
      </c>
      <c r="F209" s="12" t="s">
        <v>49</v>
      </c>
      <c r="G209" s="11"/>
      <c r="H209" s="11"/>
      <c r="I209" s="13">
        <v>0</v>
      </c>
      <c r="J209" s="13">
        <v>0</v>
      </c>
      <c r="K209" s="14" t="str">
        <f t="shared" ref="K209:K210" si="33">HYPERLINK("http://twitter.com","Twitter Web Client")</f>
        <v>Twitter Web Client</v>
      </c>
      <c r="L209" s="13">
        <v>11</v>
      </c>
      <c r="M209" s="13">
        <v>62</v>
      </c>
      <c r="N209" s="13">
        <v>0</v>
      </c>
      <c r="O209" s="15"/>
      <c r="P209" s="6">
        <v>43083.405439814815</v>
      </c>
      <c r="Q209" s="18" t="s">
        <v>142</v>
      </c>
      <c r="R209" s="19" t="s">
        <v>1507</v>
      </c>
      <c r="S209" s="11"/>
      <c r="T209" s="11"/>
      <c r="U209" s="16" t="s">
        <v>191</v>
      </c>
    </row>
    <row r="210" spans="1:21" ht="30.6">
      <c r="A210" s="6">
        <v>43442.573333333334</v>
      </c>
      <c r="B210" s="7" t="str">
        <f>HYPERLINK("https://twitter.com/alejandra52","@alejandra52")</f>
        <v>@alejandra52</v>
      </c>
      <c r="C210" s="8" t="s">
        <v>1508</v>
      </c>
      <c r="D210" s="9" t="s">
        <v>1152</v>
      </c>
      <c r="E210" s="10" t="str">
        <f>HYPERLINK("https://twitter.com/alejandra52/status/1071385303846477824","1071385303846477824")</f>
        <v>1071385303846477824</v>
      </c>
      <c r="F210" s="12" t="s">
        <v>1510</v>
      </c>
      <c r="G210" s="11"/>
      <c r="H210" s="11"/>
      <c r="I210" s="13">
        <v>0</v>
      </c>
      <c r="J210" s="13">
        <v>0</v>
      </c>
      <c r="K210" s="14" t="str">
        <f t="shared" si="33"/>
        <v>Twitter Web Client</v>
      </c>
      <c r="L210" s="13">
        <v>3710</v>
      </c>
      <c r="M210" s="13">
        <v>3762</v>
      </c>
      <c r="N210" s="13">
        <v>53</v>
      </c>
      <c r="O210" s="15"/>
      <c r="P210" s="6">
        <v>40303.734606481477</v>
      </c>
      <c r="Q210" s="18" t="s">
        <v>942</v>
      </c>
      <c r="R210" s="19" t="s">
        <v>1513</v>
      </c>
      <c r="S210" s="11"/>
      <c r="T210" s="11"/>
      <c r="U210" s="10" t="str">
        <f>HYPERLINK("https://pbs.twimg.com/profile_images/1042413787041746954/LOuu9CvM.jpg","View")</f>
        <v>View</v>
      </c>
    </row>
    <row r="211" spans="1:21" ht="20.399999999999999">
      <c r="A211" s="6">
        <v>43442.573275462964</v>
      </c>
      <c r="B211" s="7" t="str">
        <f>HYPERLINK("https://twitter.com/qqqqetru","@qqqqetru")</f>
        <v>@qqqqetru</v>
      </c>
      <c r="C211" s="8" t="s">
        <v>127</v>
      </c>
      <c r="D211" s="9" t="s">
        <v>1515</v>
      </c>
      <c r="E211" s="10" t="str">
        <f>HYPERLINK("https://twitter.com/qqqqetru/status/1071385284233883648","1071385284233883648")</f>
        <v>1071385284233883648</v>
      </c>
      <c r="F211" s="12" t="s">
        <v>52</v>
      </c>
      <c r="G211" s="11"/>
      <c r="H211" s="11"/>
      <c r="I211" s="13">
        <v>0</v>
      </c>
      <c r="J211" s="13">
        <v>0</v>
      </c>
      <c r="K211" s="14" t="str">
        <f>HYPERLINK("http://twitter.com/download/android","Twitter for Android")</f>
        <v>Twitter for Android</v>
      </c>
      <c r="L211" s="13">
        <v>649</v>
      </c>
      <c r="M211" s="13">
        <v>1194</v>
      </c>
      <c r="N211" s="13">
        <v>2</v>
      </c>
      <c r="O211" s="15"/>
      <c r="P211" s="6">
        <v>40749.437719907408</v>
      </c>
      <c r="Q211" s="11"/>
      <c r="R211" s="17"/>
      <c r="S211" s="11"/>
      <c r="T211" s="11"/>
      <c r="U211" s="10" t="str">
        <f>HYPERLINK("https://pbs.twimg.com/profile_images/1069734331780870144/d_KYpBFy.jpg","View")</f>
        <v>View</v>
      </c>
    </row>
    <row r="212" spans="1:21" ht="51">
      <c r="A212" s="6">
        <v>43442.571689814809</v>
      </c>
      <c r="B212" s="7" t="str">
        <f>HYPERLINK("https://twitter.com/Rober_Alcaz","@Rober_Alcaz")</f>
        <v>@Rober_Alcaz</v>
      </c>
      <c r="C212" s="8" t="s">
        <v>405</v>
      </c>
      <c r="D212" s="9" t="s">
        <v>406</v>
      </c>
      <c r="E212" s="10" t="str">
        <f>HYPERLINK("https://twitter.com/Rober_Alcaz/status/1071384709198942208","1071384709198942208")</f>
        <v>1071384709198942208</v>
      </c>
      <c r="F212" s="12" t="s">
        <v>407</v>
      </c>
      <c r="G212" s="11"/>
      <c r="H212" s="11"/>
      <c r="I212" s="13">
        <v>0</v>
      </c>
      <c r="J212" s="13">
        <v>1</v>
      </c>
      <c r="K212" s="14" t="str">
        <f>HYPERLINK("http://twitter.com","Twitter Web Client")</f>
        <v>Twitter Web Client</v>
      </c>
      <c r="L212" s="13">
        <v>1149</v>
      </c>
      <c r="M212" s="13">
        <v>1173</v>
      </c>
      <c r="N212" s="13">
        <v>9</v>
      </c>
      <c r="O212" s="15"/>
      <c r="P212" s="6">
        <v>42700.788993055554</v>
      </c>
      <c r="Q212" s="11"/>
      <c r="R212" s="19" t="s">
        <v>409</v>
      </c>
      <c r="S212" s="11"/>
      <c r="T212" s="11"/>
      <c r="U212" s="10" t="str">
        <f>HYPERLINK("https://pbs.twimg.com/profile_images/804448079604809728/z4q3NnYD.jpg","View")</f>
        <v>View</v>
      </c>
    </row>
    <row r="213" spans="1:21" ht="20.399999999999999">
      <c r="A213" s="6">
        <v>43442.568969907406</v>
      </c>
      <c r="B213" s="7" t="str">
        <f>HYPERLINK("https://twitter.com/pitrumo","@pitrumo")</f>
        <v>@pitrumo</v>
      </c>
      <c r="C213" s="8" t="s">
        <v>1523</v>
      </c>
      <c r="D213" s="9" t="s">
        <v>1524</v>
      </c>
      <c r="E213" s="10" t="str">
        <f>HYPERLINK("https://twitter.com/pitrumo/status/1071383722195337216","1071383722195337216")</f>
        <v>1071383722195337216</v>
      </c>
      <c r="F213" s="12" t="s">
        <v>1526</v>
      </c>
      <c r="G213" s="11"/>
      <c r="H213" s="11"/>
      <c r="I213" s="13">
        <v>0</v>
      </c>
      <c r="J213" s="13">
        <v>0</v>
      </c>
      <c r="K213" s="14" t="str">
        <f>HYPERLINK("http://twitter.com/download/iphone","Twitter for iPhone")</f>
        <v>Twitter for iPhone</v>
      </c>
      <c r="L213" s="13">
        <v>1526</v>
      </c>
      <c r="M213" s="13">
        <v>1419</v>
      </c>
      <c r="N213" s="13">
        <v>0</v>
      </c>
      <c r="O213" s="15"/>
      <c r="P213" s="6">
        <v>42642.94568287037</v>
      </c>
      <c r="Q213" s="18" t="s">
        <v>1528</v>
      </c>
      <c r="R213" s="19" t="s">
        <v>1529</v>
      </c>
      <c r="S213" s="11"/>
      <c r="T213" s="11"/>
      <c r="U213" s="10" t="str">
        <f>HYPERLINK("https://pbs.twimg.com/profile_images/1032711408021118977/DcjQcwp5.jpg","View")</f>
        <v>View</v>
      </c>
    </row>
    <row r="214" spans="1:21" ht="40.799999999999997">
      <c r="A214" s="6">
        <v>43442.568854166668</v>
      </c>
      <c r="B214" s="7" t="str">
        <f>HYPERLINK("https://twitter.com/Pablo_Iglesias_","@Pablo_Iglesias_")</f>
        <v>@Pablo_Iglesias_</v>
      </c>
      <c r="C214" s="8" t="s">
        <v>1532</v>
      </c>
      <c r="D214" s="9" t="s">
        <v>1533</v>
      </c>
      <c r="E214" s="10" t="str">
        <f>HYPERLINK("https://twitter.com/Pablo_Iglesias_/status/1071383681040871425","1071383681040871425")</f>
        <v>1071383681040871425</v>
      </c>
      <c r="F214" s="12" t="s">
        <v>1536</v>
      </c>
      <c r="G214" s="11"/>
      <c r="H214" s="11"/>
      <c r="I214" s="13">
        <v>986</v>
      </c>
      <c r="J214" s="13">
        <v>1290</v>
      </c>
      <c r="K214" s="14" t="str">
        <f>HYPERLINK("http://twitter.com","Twitter Web Client")</f>
        <v>Twitter Web Client</v>
      </c>
      <c r="L214" s="13">
        <v>2243645</v>
      </c>
      <c r="M214" s="13">
        <v>2745</v>
      </c>
      <c r="N214" s="13">
        <v>8492</v>
      </c>
      <c r="O214" s="16" t="s">
        <v>25</v>
      </c>
      <c r="P214" s="6">
        <v>40351.575300925928</v>
      </c>
      <c r="Q214" s="18" t="s">
        <v>307</v>
      </c>
      <c r="R214" s="19" t="s">
        <v>1538</v>
      </c>
      <c r="S214" s="12" t="s">
        <v>1539</v>
      </c>
      <c r="T214" s="11"/>
      <c r="U214" s="10" t="str">
        <f>HYPERLINK("https://pbs.twimg.com/profile_images/902223370569338884/dL2D2A5P.jpg","View")</f>
        <v>View</v>
      </c>
    </row>
    <row r="215" spans="1:21" ht="20.399999999999999">
      <c r="A215" s="6">
        <v>43442.568101851852</v>
      </c>
      <c r="B215" s="7" t="str">
        <f>HYPERLINK("https://twitter.com/marmenor2016","@marmenor2016")</f>
        <v>@marmenor2016</v>
      </c>
      <c r="C215" s="8" t="s">
        <v>1540</v>
      </c>
      <c r="D215" s="9" t="s">
        <v>612</v>
      </c>
      <c r="E215" s="10" t="str">
        <f>HYPERLINK("https://twitter.com/marmenor2016/status/1071383408931168256","1071383408931168256")</f>
        <v>1071383408931168256</v>
      </c>
      <c r="F215" s="12" t="s">
        <v>49</v>
      </c>
      <c r="G215" s="11"/>
      <c r="H215" s="11"/>
      <c r="I215" s="13">
        <v>0</v>
      </c>
      <c r="J215" s="13">
        <v>0</v>
      </c>
      <c r="K215" s="14" t="str">
        <f>HYPERLINK("http://twitter.com/download/android","Twitter for Android")</f>
        <v>Twitter for Android</v>
      </c>
      <c r="L215" s="13">
        <v>314</v>
      </c>
      <c r="M215" s="13">
        <v>696</v>
      </c>
      <c r="N215" s="13">
        <v>1</v>
      </c>
      <c r="O215" s="15"/>
      <c r="P215" s="6">
        <v>42636.499120370368</v>
      </c>
      <c r="Q215" s="11"/>
      <c r="R215" s="19" t="s">
        <v>1543</v>
      </c>
      <c r="S215" s="11"/>
      <c r="T215" s="11"/>
      <c r="U215" s="10" t="str">
        <f>HYPERLINK("https://pbs.twimg.com/profile_images/779543593610534912/pe7bXH-6.jpg","View")</f>
        <v>View</v>
      </c>
    </row>
    <row r="216" spans="1:21" ht="40.799999999999997">
      <c r="A216" s="6">
        <v>43442.567824074074</v>
      </c>
      <c r="B216" s="7" t="str">
        <f>HYPERLINK("https://twitter.com/VictoriAndres1","@VictoriAndres1")</f>
        <v>@VictoriAndres1</v>
      </c>
      <c r="C216" s="8" t="s">
        <v>1318</v>
      </c>
      <c r="D216" s="9" t="s">
        <v>1544</v>
      </c>
      <c r="E216" s="10" t="str">
        <f>HYPERLINK("https://twitter.com/VictoriAndres1/status/1071383308670509056","1071383308670509056")</f>
        <v>1071383308670509056</v>
      </c>
      <c r="F216" s="12" t="s">
        <v>1545</v>
      </c>
      <c r="G216" s="11"/>
      <c r="H216" s="11"/>
      <c r="I216" s="13">
        <v>0</v>
      </c>
      <c r="J216" s="13">
        <v>0</v>
      </c>
      <c r="K216" s="14" t="str">
        <f>HYPERLINK("http://www.facebook.com/twitter","Facebook")</f>
        <v>Facebook</v>
      </c>
      <c r="L216" s="13">
        <v>202</v>
      </c>
      <c r="M216" s="13">
        <v>294</v>
      </c>
      <c r="N216" s="13">
        <v>1</v>
      </c>
      <c r="O216" s="15"/>
      <c r="P216" s="6">
        <v>40992.421249999999</v>
      </c>
      <c r="Q216" s="18" t="s">
        <v>307</v>
      </c>
      <c r="R216" s="19" t="s">
        <v>1321</v>
      </c>
      <c r="S216" s="12" t="s">
        <v>1322</v>
      </c>
      <c r="T216" s="11"/>
      <c r="U216" s="10" t="str">
        <f>HYPERLINK("https://pbs.twimg.com/profile_images/1018850373476454400/___hRpp7.jpg","View")</f>
        <v>View</v>
      </c>
    </row>
    <row r="217" spans="1:21" ht="61.2">
      <c r="A217" s="6">
        <v>43442.567800925928</v>
      </c>
      <c r="B217" s="7" t="str">
        <f>HYPERLINK("https://twitter.com/Wallymi10","@Wallymi10")</f>
        <v>@Wallymi10</v>
      </c>
      <c r="C217" s="8" t="s">
        <v>413</v>
      </c>
      <c r="D217" s="9" t="s">
        <v>414</v>
      </c>
      <c r="E217" s="10" t="str">
        <f>HYPERLINK("https://twitter.com/Wallymi10/status/1071383300806045699","1071383300806045699")</f>
        <v>1071383300806045699</v>
      </c>
      <c r="F217" s="18" t="s">
        <v>415</v>
      </c>
      <c r="G217" s="11"/>
      <c r="H217" s="11"/>
      <c r="I217" s="13">
        <v>2</v>
      </c>
      <c r="J217" s="13">
        <v>2</v>
      </c>
      <c r="K217" s="14" t="str">
        <f>HYPERLINK("http://twitter.com/download/android","Twitter for Android")</f>
        <v>Twitter for Android</v>
      </c>
      <c r="L217" s="13">
        <v>4391</v>
      </c>
      <c r="M217" s="13">
        <v>4546</v>
      </c>
      <c r="N217" s="13">
        <v>26</v>
      </c>
      <c r="O217" s="15"/>
      <c r="P217" s="6">
        <v>40805.640347222223</v>
      </c>
      <c r="Q217" s="18" t="s">
        <v>417</v>
      </c>
      <c r="R217" s="19" t="s">
        <v>418</v>
      </c>
      <c r="S217" s="11"/>
      <c r="T217" s="11"/>
      <c r="U217" s="10" t="str">
        <f>HYPERLINK("https://pbs.twimg.com/profile_images/948140742727340033/EEg67D9S.jpg","View")</f>
        <v>View</v>
      </c>
    </row>
    <row r="218" spans="1:21" ht="51">
      <c r="A218" s="6">
        <v>43442.567685185189</v>
      </c>
      <c r="B218" s="7" t="str">
        <f>HYPERLINK("https://twitter.com/miguel_gacio","@miguel_gacio")</f>
        <v>@miguel_gacio</v>
      </c>
      <c r="C218" s="8" t="s">
        <v>420</v>
      </c>
      <c r="D218" s="9" t="s">
        <v>421</v>
      </c>
      <c r="E218" s="10" t="str">
        <f>HYPERLINK("https://twitter.com/miguel_gacio/status/1071383258049466369","1071383258049466369")</f>
        <v>1071383258049466369</v>
      </c>
      <c r="F218" s="11"/>
      <c r="G218" s="11"/>
      <c r="H218" s="11"/>
      <c r="I218" s="13">
        <v>0</v>
      </c>
      <c r="J218" s="13">
        <v>0</v>
      </c>
      <c r="K218" s="14" t="str">
        <f>HYPERLINK("https://mobile.twitter.com","Twitter Lite")</f>
        <v>Twitter Lite</v>
      </c>
      <c r="L218" s="13">
        <v>197</v>
      </c>
      <c r="M218" s="13">
        <v>424</v>
      </c>
      <c r="N218" s="13">
        <v>0</v>
      </c>
      <c r="O218" s="15"/>
      <c r="P218" s="6">
        <v>43088.045763888891</v>
      </c>
      <c r="Q218" s="11"/>
      <c r="R218" s="19" t="s">
        <v>426</v>
      </c>
      <c r="S218" s="11"/>
      <c r="T218" s="11"/>
      <c r="U218" s="10" t="str">
        <f>HYPERLINK("https://pbs.twimg.com/profile_images/958112161682874369/heedfm8g.jpg","View")</f>
        <v>View</v>
      </c>
    </row>
    <row r="219" spans="1:21" ht="40.799999999999997">
      <c r="A219" s="6">
        <v>43442.567164351851</v>
      </c>
      <c r="B219" s="7" t="str">
        <f>HYPERLINK("https://twitter.com/cartujano57gil","@cartujano57gil")</f>
        <v>@cartujano57gil</v>
      </c>
      <c r="C219" s="8" t="s">
        <v>1552</v>
      </c>
      <c r="D219" s="9" t="s">
        <v>1357</v>
      </c>
      <c r="E219" s="10" t="str">
        <f>HYPERLINK("https://twitter.com/cartujano57gil/status/1071383066571100160","1071383066571100160")</f>
        <v>1071383066571100160</v>
      </c>
      <c r="F219" s="12" t="s">
        <v>754</v>
      </c>
      <c r="G219" s="11"/>
      <c r="H219" s="11"/>
      <c r="I219" s="13">
        <v>0</v>
      </c>
      <c r="J219" s="13">
        <v>0</v>
      </c>
      <c r="K219" s="14" t="str">
        <f>HYPERLINK("http://www.facebook.com/twitter","Facebook")</f>
        <v>Facebook</v>
      </c>
      <c r="L219" s="13">
        <v>104</v>
      </c>
      <c r="M219" s="13">
        <v>304</v>
      </c>
      <c r="N219" s="13">
        <v>3</v>
      </c>
      <c r="O219" s="15"/>
      <c r="P219" s="6">
        <v>42607.894965277781</v>
      </c>
      <c r="Q219" s="18" t="s">
        <v>1555</v>
      </c>
      <c r="R219" s="19" t="s">
        <v>1557</v>
      </c>
      <c r="S219" s="11"/>
      <c r="T219" s="11"/>
      <c r="U219" s="10" t="str">
        <f>HYPERLINK("https://pbs.twimg.com/profile_images/769984638903255044/f-AxsW4K.jpg","View")</f>
        <v>View</v>
      </c>
    </row>
    <row r="220" spans="1:21" ht="51">
      <c r="A220" s="6">
        <v>43442.566921296297</v>
      </c>
      <c r="B220" s="7" t="str">
        <f>HYPERLINK("https://twitter.com/Madrizfc","@Madrizfc")</f>
        <v>@Madrizfc</v>
      </c>
      <c r="C220" s="8" t="s">
        <v>428</v>
      </c>
      <c r="D220" s="9" t="s">
        <v>429</v>
      </c>
      <c r="E220" s="10" t="str">
        <f>HYPERLINK("https://twitter.com/Madrizfc/status/1071382978545283078","1071382978545283078")</f>
        <v>1071382978545283078</v>
      </c>
      <c r="F220" s="18" t="s">
        <v>430</v>
      </c>
      <c r="G220" s="12" t="s">
        <v>431</v>
      </c>
      <c r="H220" s="11"/>
      <c r="I220" s="13">
        <v>0</v>
      </c>
      <c r="J220" s="13">
        <v>1</v>
      </c>
      <c r="K220" s="14" t="str">
        <f t="shared" ref="K220:K221" si="34">HYPERLINK("http://twitter.com/download/android","Twitter for Android")</f>
        <v>Twitter for Android</v>
      </c>
      <c r="L220" s="13">
        <v>180</v>
      </c>
      <c r="M220" s="13">
        <v>436</v>
      </c>
      <c r="N220" s="13">
        <v>0</v>
      </c>
      <c r="O220" s="15"/>
      <c r="P220" s="6">
        <v>41429.442569444444</v>
      </c>
      <c r="Q220" s="11"/>
      <c r="R220" s="19" t="s">
        <v>432</v>
      </c>
      <c r="S220" s="11"/>
      <c r="T220" s="11"/>
      <c r="U220" s="10" t="str">
        <f>HYPERLINK("https://pbs.twimg.com/profile_images/921473267084529664/JfuQ9qb3.jpg","View")</f>
        <v>View</v>
      </c>
    </row>
    <row r="221" spans="1:21" ht="40.799999999999997">
      <c r="A221" s="6">
        <v>43442.56658564815</v>
      </c>
      <c r="B221" s="7" t="str">
        <f>HYPERLINK("https://twitter.com/RubenDatito","@RubenDatito")</f>
        <v>@RubenDatito</v>
      </c>
      <c r="C221" s="8" t="s">
        <v>434</v>
      </c>
      <c r="D221" s="9" t="s">
        <v>435</v>
      </c>
      <c r="E221" s="10" t="str">
        <f>HYPERLINK("https://twitter.com/RubenDatito/status/1071382857078181889","1071382857078181889")</f>
        <v>1071382857078181889</v>
      </c>
      <c r="F221" s="18" t="s">
        <v>438</v>
      </c>
      <c r="G221" s="11"/>
      <c r="H221" s="11"/>
      <c r="I221" s="13">
        <v>0</v>
      </c>
      <c r="J221" s="13">
        <v>0</v>
      </c>
      <c r="K221" s="14" t="str">
        <f t="shared" si="34"/>
        <v>Twitter for Android</v>
      </c>
      <c r="L221" s="13">
        <v>2253</v>
      </c>
      <c r="M221" s="13">
        <v>2128</v>
      </c>
      <c r="N221" s="13">
        <v>73</v>
      </c>
      <c r="O221" s="15"/>
      <c r="P221" s="6">
        <v>41695.001180555555</v>
      </c>
      <c r="Q221" s="11"/>
      <c r="R221" s="17"/>
      <c r="S221" s="12" t="s">
        <v>439</v>
      </c>
      <c r="T221" s="11"/>
      <c r="U221" s="10" t="str">
        <f>HYPERLINK("https://pbs.twimg.com/profile_images/439933611790172160/c9Be7bNY.jpeg","View")</f>
        <v>View</v>
      </c>
    </row>
    <row r="222" spans="1:21" ht="30.6">
      <c r="A222" s="6">
        <v>43442.565740740742</v>
      </c>
      <c r="B222" s="7" t="str">
        <f>HYPERLINK("https://twitter.com/dofasa47","@dofasa47")</f>
        <v>@dofasa47</v>
      </c>
      <c r="C222" s="8" t="s">
        <v>1563</v>
      </c>
      <c r="D222" s="9" t="s">
        <v>1564</v>
      </c>
      <c r="E222" s="10" t="str">
        <f>HYPERLINK("https://twitter.com/dofasa47/status/1071382552257159168","1071382552257159168")</f>
        <v>1071382552257159168</v>
      </c>
      <c r="F222" s="11"/>
      <c r="G222" s="11"/>
      <c r="H222" s="11"/>
      <c r="I222" s="13">
        <v>0</v>
      </c>
      <c r="J222" s="13">
        <v>0</v>
      </c>
      <c r="K222" s="14" t="str">
        <f t="shared" ref="K222:K223" si="35">HYPERLINK("http://twitter.com","Twitter Web Client")</f>
        <v>Twitter Web Client</v>
      </c>
      <c r="L222" s="13">
        <v>877</v>
      </c>
      <c r="M222" s="13">
        <v>1882</v>
      </c>
      <c r="N222" s="13">
        <v>2</v>
      </c>
      <c r="O222" s="15"/>
      <c r="P222" s="6">
        <v>41373.907210648147</v>
      </c>
      <c r="Q222" s="11"/>
      <c r="R222" s="19" t="s">
        <v>1567</v>
      </c>
      <c r="S222" s="11"/>
      <c r="T222" s="11"/>
      <c r="U222" s="10" t="str">
        <f>HYPERLINK("https://pbs.twimg.com/profile_images/1025805904220958720/BbemIWqe.jpg","View")</f>
        <v>View</v>
      </c>
    </row>
    <row r="223" spans="1:21" ht="30.6">
      <c r="A223" s="6">
        <v>43442.565000000002</v>
      </c>
      <c r="B223" s="7" t="str">
        <f>HYPERLINK("https://twitter.com/MarxGrouchista","@MarxGrouchista")</f>
        <v>@MarxGrouchista</v>
      </c>
      <c r="C223" s="8" t="s">
        <v>1568</v>
      </c>
      <c r="D223" s="9" t="s">
        <v>1569</v>
      </c>
      <c r="E223" s="10" t="str">
        <f>HYPERLINK("https://twitter.com/MarxGrouchista/status/1071382285512003584","1071382285512003584")</f>
        <v>1071382285512003584</v>
      </c>
      <c r="F223" s="12" t="s">
        <v>49</v>
      </c>
      <c r="G223" s="11"/>
      <c r="H223" s="11"/>
      <c r="I223" s="13">
        <v>1</v>
      </c>
      <c r="J223" s="13">
        <v>1</v>
      </c>
      <c r="K223" s="14" t="str">
        <f t="shared" si="35"/>
        <v>Twitter Web Client</v>
      </c>
      <c r="L223" s="13">
        <v>742</v>
      </c>
      <c r="M223" s="13">
        <v>1181</v>
      </c>
      <c r="N223" s="13">
        <v>2</v>
      </c>
      <c r="O223" s="15"/>
      <c r="P223" s="6">
        <v>41569.69866898148</v>
      </c>
      <c r="Q223" s="11"/>
      <c r="R223" s="19" t="s">
        <v>1572</v>
      </c>
      <c r="S223" s="11"/>
      <c r="T223" s="11"/>
      <c r="U223" s="10" t="str">
        <f>HYPERLINK("https://pbs.twimg.com/profile_images/378800000633199845/ff527eb8650876537ef30397cce9f198.jpeg","View")</f>
        <v>View</v>
      </c>
    </row>
    <row r="224" spans="1:21" ht="30.6">
      <c r="A224" s="6">
        <v>43442.564305555556</v>
      </c>
      <c r="B224" s="7" t="str">
        <f>HYPERLINK("https://twitter.com/Andresamunt","@Andresamunt")</f>
        <v>@Andresamunt</v>
      </c>
      <c r="C224" s="8" t="s">
        <v>1573</v>
      </c>
      <c r="D224" s="9" t="s">
        <v>1574</v>
      </c>
      <c r="E224" s="10" t="str">
        <f>HYPERLINK("https://twitter.com/Andresamunt/status/1071382034365456384","1071382034365456384")</f>
        <v>1071382034365456384</v>
      </c>
      <c r="F224" s="11"/>
      <c r="G224" s="11"/>
      <c r="H224" s="11"/>
      <c r="I224" s="13">
        <v>0</v>
      </c>
      <c r="J224" s="13">
        <v>2</v>
      </c>
      <c r="K224" s="14" t="str">
        <f>HYPERLINK("http://twitter.com/download/android","Twitter for Android")</f>
        <v>Twitter for Android</v>
      </c>
      <c r="L224" s="13">
        <v>1244</v>
      </c>
      <c r="M224" s="13">
        <v>1309</v>
      </c>
      <c r="N224" s="13">
        <v>10</v>
      </c>
      <c r="O224" s="15"/>
      <c r="P224" s="6">
        <v>41655.554849537039</v>
      </c>
      <c r="Q224" s="11"/>
      <c r="R224" s="19" t="s">
        <v>1577</v>
      </c>
      <c r="S224" s="11"/>
      <c r="T224" s="11"/>
      <c r="U224" s="10" t="str">
        <f>HYPERLINK("https://pbs.twimg.com/profile_images/695015091499094017/tiUDidNU.jpg","View")</f>
        <v>View</v>
      </c>
    </row>
    <row r="225" spans="1:21" ht="51">
      <c r="A225" s="6">
        <v>43442.563958333332</v>
      </c>
      <c r="B225" s="7" t="str">
        <f>HYPERLINK("https://twitter.com/Alvisepf","@Alvisepf")</f>
        <v>@Alvisepf</v>
      </c>
      <c r="C225" s="8" t="s">
        <v>440</v>
      </c>
      <c r="D225" s="9" t="s">
        <v>441</v>
      </c>
      <c r="E225" s="10" t="str">
        <f>HYPERLINK("https://twitter.com/Alvisepf/status/1071381904694411264","1071381904694411264")</f>
        <v>1071381904694411264</v>
      </c>
      <c r="F225" s="11"/>
      <c r="G225" s="12" t="s">
        <v>443</v>
      </c>
      <c r="H225" s="11"/>
      <c r="I225" s="13">
        <v>91</v>
      </c>
      <c r="J225" s="13">
        <v>126</v>
      </c>
      <c r="K225" s="14" t="str">
        <f t="shared" ref="K225:K227" si="36">HYPERLINK("http://twitter.com","Twitter Web Client")</f>
        <v>Twitter Web Client</v>
      </c>
      <c r="L225" s="13">
        <v>28880</v>
      </c>
      <c r="M225" s="13">
        <v>2420</v>
      </c>
      <c r="N225" s="13">
        <v>197</v>
      </c>
      <c r="O225" s="15"/>
      <c r="P225" s="6">
        <v>40610.909803240742</v>
      </c>
      <c r="Q225" s="18" t="s">
        <v>444</v>
      </c>
      <c r="R225" s="19" t="s">
        <v>445</v>
      </c>
      <c r="S225" s="12" t="s">
        <v>446</v>
      </c>
      <c r="T225" s="11"/>
      <c r="U225" s="10" t="str">
        <f>HYPERLINK("https://pbs.twimg.com/profile_images/852643697695109122/j82TbBkV.jpg","View")</f>
        <v>View</v>
      </c>
    </row>
    <row r="226" spans="1:21" ht="40.799999999999997">
      <c r="A226" s="6">
        <v>43442.562939814816</v>
      </c>
      <c r="B226" s="7" t="str">
        <f>HYPERLINK("https://twitter.com/Salveatquevale","@Salveatquevale")</f>
        <v>@Salveatquevale</v>
      </c>
      <c r="C226" s="8" t="s">
        <v>1523</v>
      </c>
      <c r="D226" s="9" t="s">
        <v>285</v>
      </c>
      <c r="E226" s="10" t="str">
        <f>HYPERLINK("https://twitter.com/Salveatquevale/status/1071381537634037763","1071381537634037763")</f>
        <v>1071381537634037763</v>
      </c>
      <c r="F226" s="12" t="s">
        <v>290</v>
      </c>
      <c r="G226" s="11"/>
      <c r="H226" s="11"/>
      <c r="I226" s="13">
        <v>0</v>
      </c>
      <c r="J226" s="13">
        <v>0</v>
      </c>
      <c r="K226" s="14" t="str">
        <f t="shared" si="36"/>
        <v>Twitter Web Client</v>
      </c>
      <c r="L226" s="13">
        <v>254</v>
      </c>
      <c r="M226" s="13">
        <v>2019</v>
      </c>
      <c r="N226" s="13">
        <v>7</v>
      </c>
      <c r="O226" s="15"/>
      <c r="P226" s="6">
        <v>42136.68341435185</v>
      </c>
      <c r="Q226" s="18" t="s">
        <v>1547</v>
      </c>
      <c r="R226" s="19" t="s">
        <v>1585</v>
      </c>
      <c r="S226" s="11"/>
      <c r="T226" s="11"/>
      <c r="U226" s="10" t="str">
        <f>HYPERLINK("https://pbs.twimg.com/profile_images/598134721189703681/QmL5YYRW.jpg","View")</f>
        <v>View</v>
      </c>
    </row>
    <row r="227" spans="1:21" ht="30.6">
      <c r="A227" s="6">
        <v>43442.560532407406</v>
      </c>
      <c r="B227" s="7" t="str">
        <f>HYPERLINK("https://twitter.com/21_luky","@21_luky")</f>
        <v>@21_luky</v>
      </c>
      <c r="C227" s="8" t="s">
        <v>1588</v>
      </c>
      <c r="D227" s="9" t="s">
        <v>285</v>
      </c>
      <c r="E227" s="10" t="str">
        <f>HYPERLINK("https://twitter.com/21_luky/status/1071380665378238465","1071380665378238465")</f>
        <v>1071380665378238465</v>
      </c>
      <c r="F227" s="12" t="s">
        <v>290</v>
      </c>
      <c r="G227" s="11"/>
      <c r="H227" s="11"/>
      <c r="I227" s="13">
        <v>0</v>
      </c>
      <c r="J227" s="13">
        <v>0</v>
      </c>
      <c r="K227" s="14" t="str">
        <f t="shared" si="36"/>
        <v>Twitter Web Client</v>
      </c>
      <c r="L227" s="13">
        <v>3803</v>
      </c>
      <c r="M227" s="13">
        <v>2768</v>
      </c>
      <c r="N227" s="13">
        <v>17</v>
      </c>
      <c r="O227" s="15"/>
      <c r="P227" s="6">
        <v>42259.60292824074</v>
      </c>
      <c r="Q227" s="18" t="s">
        <v>1590</v>
      </c>
      <c r="R227" s="19" t="s">
        <v>1591</v>
      </c>
      <c r="S227" s="11"/>
      <c r="T227" s="11"/>
      <c r="U227" s="10" t="str">
        <f>HYPERLINK("https://pbs.twimg.com/profile_images/982726754988167168/zoy2gRWk.jpg","View")</f>
        <v>View</v>
      </c>
    </row>
    <row r="228" spans="1:21" ht="13.2">
      <c r="A228" s="6">
        <v>43442.56045138889</v>
      </c>
      <c r="B228" s="7" t="str">
        <f>HYPERLINK("https://twitter.com/AThable","@AThable")</f>
        <v>@AThable</v>
      </c>
      <c r="C228" s="8" t="s">
        <v>1592</v>
      </c>
      <c r="D228" s="9" t="s">
        <v>1593</v>
      </c>
      <c r="E228" s="10" t="str">
        <f>HYPERLINK("https://twitter.com/AThable/status/1071380635208564736","1071380635208564736")</f>
        <v>1071380635208564736</v>
      </c>
      <c r="F228" s="12" t="s">
        <v>1015</v>
      </c>
      <c r="G228" s="11"/>
      <c r="H228" s="11"/>
      <c r="I228" s="13">
        <v>0</v>
      </c>
      <c r="J228" s="13">
        <v>0</v>
      </c>
      <c r="K228" s="14" t="str">
        <f t="shared" ref="K228:K230" si="37">HYPERLINK("http://twitter.com/download/android","Twitter for Android")</f>
        <v>Twitter for Android</v>
      </c>
      <c r="L228" s="13">
        <v>135</v>
      </c>
      <c r="M228" s="13">
        <v>254</v>
      </c>
      <c r="N228" s="13">
        <v>4</v>
      </c>
      <c r="O228" s="15"/>
      <c r="P228" s="6">
        <v>41734.528715277775</v>
      </c>
      <c r="Q228" s="11"/>
      <c r="R228" s="17"/>
      <c r="S228" s="11"/>
      <c r="T228" s="11"/>
      <c r="U228" s="10" t="str">
        <f>HYPERLINK("https://pbs.twimg.com/profile_images/452396308738105344/uAoxhinN.jpeg","View")</f>
        <v>View</v>
      </c>
    </row>
    <row r="229" spans="1:21" ht="40.799999999999997">
      <c r="A229" s="6">
        <v>43442.560393518521</v>
      </c>
      <c r="B229" s="7" t="str">
        <f>HYPERLINK("https://twitter.com/camascofrade","@camascofrade")</f>
        <v>@camascofrade</v>
      </c>
      <c r="C229" s="8" t="s">
        <v>1599</v>
      </c>
      <c r="D229" s="9" t="s">
        <v>1600</v>
      </c>
      <c r="E229" s="10" t="str">
        <f>HYPERLINK("https://twitter.com/camascofrade/status/1071380613339496450","1071380613339496450")</f>
        <v>1071380613339496450</v>
      </c>
      <c r="F229" s="11"/>
      <c r="G229" s="12" t="s">
        <v>1603</v>
      </c>
      <c r="H229" s="11"/>
      <c r="I229" s="13">
        <v>0</v>
      </c>
      <c r="J229" s="13">
        <v>0</v>
      </c>
      <c r="K229" s="14" t="str">
        <f t="shared" si="37"/>
        <v>Twitter for Android</v>
      </c>
      <c r="L229" s="13">
        <v>2273</v>
      </c>
      <c r="M229" s="13">
        <v>664</v>
      </c>
      <c r="N229" s="13">
        <v>28</v>
      </c>
      <c r="O229" s="15"/>
      <c r="P229" s="6">
        <v>40962.687430555554</v>
      </c>
      <c r="Q229" s="18" t="s">
        <v>1604</v>
      </c>
      <c r="R229" s="19" t="s">
        <v>1605</v>
      </c>
      <c r="S229" s="12" t="s">
        <v>1606</v>
      </c>
      <c r="T229" s="11"/>
      <c r="U229" s="10" t="str">
        <f>HYPERLINK("https://pbs.twimg.com/profile_images/966425401101873155/sUl6Mikw.jpg","View")</f>
        <v>View</v>
      </c>
    </row>
    <row r="230" spans="1:21" ht="61.2">
      <c r="A230" s="6">
        <v>43442.55940972222</v>
      </c>
      <c r="B230" s="7" t="str">
        <f>HYPERLINK("https://twitter.com/daniello131980","@daniello131980")</f>
        <v>@daniello131980</v>
      </c>
      <c r="C230" s="8" t="s">
        <v>1608</v>
      </c>
      <c r="D230" s="9" t="s">
        <v>1609</v>
      </c>
      <c r="E230" s="10" t="str">
        <f>HYPERLINK("https://twitter.com/daniello131980/status/1071380257880637442","1071380257880637442")</f>
        <v>1071380257880637442</v>
      </c>
      <c r="F230" s="12" t="s">
        <v>1610</v>
      </c>
      <c r="G230" s="12" t="s">
        <v>1613</v>
      </c>
      <c r="H230" s="11"/>
      <c r="I230" s="13">
        <v>8</v>
      </c>
      <c r="J230" s="13">
        <v>7</v>
      </c>
      <c r="K230" s="14" t="str">
        <f t="shared" si="37"/>
        <v>Twitter for Android</v>
      </c>
      <c r="L230" s="13">
        <v>2538</v>
      </c>
      <c r="M230" s="13">
        <v>2503</v>
      </c>
      <c r="N230" s="13">
        <v>7</v>
      </c>
      <c r="O230" s="15"/>
      <c r="P230" s="6">
        <v>41471.863622685181</v>
      </c>
      <c r="Q230" s="18" t="s">
        <v>404</v>
      </c>
      <c r="R230" s="19" t="s">
        <v>1614</v>
      </c>
      <c r="S230" s="11"/>
      <c r="T230" s="11"/>
      <c r="U230" s="10" t="str">
        <f>HYPERLINK("https://pbs.twimg.com/profile_images/733372087285493761/UR9bG2bo.jpg","View")</f>
        <v>View</v>
      </c>
    </row>
    <row r="231" spans="1:21" ht="51">
      <c r="A231" s="6">
        <v>43442.559363425928</v>
      </c>
      <c r="B231" s="7" t="str">
        <f>HYPERLINK("https://twitter.com/ikuslecom","@ikuslecom")</f>
        <v>@ikuslecom</v>
      </c>
      <c r="C231" s="8" t="s">
        <v>450</v>
      </c>
      <c r="D231" s="9" t="s">
        <v>451</v>
      </c>
      <c r="E231" s="10" t="str">
        <f>HYPERLINK("https://twitter.com/ikuslecom/status/1071380242395217920","1071380242395217920")</f>
        <v>1071380242395217920</v>
      </c>
      <c r="F231" s="12" t="s">
        <v>452</v>
      </c>
      <c r="G231" s="11"/>
      <c r="H231" s="11"/>
      <c r="I231" s="13">
        <v>0</v>
      </c>
      <c r="J231" s="13">
        <v>0</v>
      </c>
      <c r="K231" s="14" t="str">
        <f>HYPERLINK("http://twitter.com","Twitter Web Client")</f>
        <v>Twitter Web Client</v>
      </c>
      <c r="L231" s="13">
        <v>5248</v>
      </c>
      <c r="M231" s="13">
        <v>215</v>
      </c>
      <c r="N231" s="13">
        <v>111</v>
      </c>
      <c r="O231" s="15"/>
      <c r="P231" s="6">
        <v>41276.656909722224</v>
      </c>
      <c r="Q231" s="18" t="s">
        <v>453</v>
      </c>
      <c r="R231" s="19" t="s">
        <v>455</v>
      </c>
      <c r="S231" s="12" t="s">
        <v>456</v>
      </c>
      <c r="T231" s="11"/>
      <c r="U231" s="10" t="str">
        <f>HYPERLINK("https://pbs.twimg.com/profile_images/961194049054105600/ojU0SumC.jpg","View")</f>
        <v>View</v>
      </c>
    </row>
    <row r="232" spans="1:21" ht="13.2">
      <c r="A232" s="6">
        <v>43442.558935185181</v>
      </c>
      <c r="B232" s="7" t="str">
        <f>HYPERLINK("https://twitter.com/jmdelacorte","@jmdelacorte")</f>
        <v>@jmdelacorte</v>
      </c>
      <c r="C232" s="8" t="s">
        <v>1621</v>
      </c>
      <c r="D232" s="9" t="s">
        <v>1622</v>
      </c>
      <c r="E232" s="10" t="str">
        <f>HYPERLINK("https://twitter.com/jmdelacorte/status/1071380087898062848","1071380087898062848")</f>
        <v>1071380087898062848</v>
      </c>
      <c r="F232" s="12" t="s">
        <v>1625</v>
      </c>
      <c r="G232" s="11"/>
      <c r="H232" s="11"/>
      <c r="I232" s="13">
        <v>0</v>
      </c>
      <c r="J232" s="13">
        <v>0</v>
      </c>
      <c r="K232" s="14" t="str">
        <f>HYPERLINK("http://twitter.com/download/iphone","Twitter for iPhone")</f>
        <v>Twitter for iPhone</v>
      </c>
      <c r="L232" s="13">
        <v>413</v>
      </c>
      <c r="M232" s="13">
        <v>18</v>
      </c>
      <c r="N232" s="13">
        <v>7</v>
      </c>
      <c r="O232" s="15"/>
      <c r="P232" s="6">
        <v>40654.1643287037</v>
      </c>
      <c r="Q232" s="11"/>
      <c r="R232" s="17"/>
      <c r="S232" s="11"/>
      <c r="T232" s="11"/>
      <c r="U232" s="10" t="str">
        <f>HYPERLINK("https://pbs.twimg.com/profile_images/1033688204111736832/Lt58chq1.jpg","View")</f>
        <v>View</v>
      </c>
    </row>
    <row r="233" spans="1:21" ht="30.6">
      <c r="A233" s="6">
        <v>43442.558715277773</v>
      </c>
      <c r="B233" s="7" t="str">
        <f>HYPERLINK("https://twitter.com/PROFESORNLP","@PROFESORNLP")</f>
        <v>@PROFESORNLP</v>
      </c>
      <c r="C233" s="8" t="s">
        <v>1627</v>
      </c>
      <c r="D233" s="9" t="s">
        <v>1152</v>
      </c>
      <c r="E233" s="10" t="str">
        <f>HYPERLINK("https://twitter.com/PROFESORNLP/status/1071380007392591872","1071380007392591872")</f>
        <v>1071380007392591872</v>
      </c>
      <c r="F233" s="12" t="s">
        <v>1629</v>
      </c>
      <c r="G233" s="11"/>
      <c r="H233" s="11"/>
      <c r="I233" s="13">
        <v>0</v>
      </c>
      <c r="J233" s="13">
        <v>0</v>
      </c>
      <c r="K233" s="14" t="str">
        <f>HYPERLINK("http://twitter.com/download/android","Twitter for Android")</f>
        <v>Twitter for Android</v>
      </c>
      <c r="L233" s="13">
        <v>504</v>
      </c>
      <c r="M233" s="13">
        <v>524</v>
      </c>
      <c r="N233" s="13">
        <v>4</v>
      </c>
      <c r="O233" s="15"/>
      <c r="P233" s="6">
        <v>40213.068912037037</v>
      </c>
      <c r="Q233" s="18" t="s">
        <v>1630</v>
      </c>
      <c r="R233" s="17"/>
      <c r="S233" s="11"/>
      <c r="T233" s="11"/>
      <c r="U233" s="10" t="str">
        <f>HYPERLINK("https://pbs.twimg.com/profile_images/872791821390315521/AtoEzoNU.jpg","View")</f>
        <v>View</v>
      </c>
    </row>
    <row r="234" spans="1:21" ht="30.6">
      <c r="A234" s="6">
        <v>43442.557118055556</v>
      </c>
      <c r="B234" s="7" t="str">
        <f>HYPERLINK("https://twitter.com/Sedjem_Ash","@Sedjem_Ash")</f>
        <v>@Sedjem_Ash</v>
      </c>
      <c r="C234" s="8" t="s">
        <v>1632</v>
      </c>
      <c r="D234" s="9" t="s">
        <v>137</v>
      </c>
      <c r="E234" s="10" t="str">
        <f>HYPERLINK("https://twitter.com/Sedjem_Ash/status/1071379426125012999","1071379426125012999")</f>
        <v>1071379426125012999</v>
      </c>
      <c r="F234" s="12" t="s">
        <v>1633</v>
      </c>
      <c r="G234" s="11"/>
      <c r="H234" s="11"/>
      <c r="I234" s="13">
        <v>0</v>
      </c>
      <c r="J234" s="13">
        <v>0</v>
      </c>
      <c r="K234" s="14" t="str">
        <f>HYPERLINK("http://twitter.com","Twitter Web Client")</f>
        <v>Twitter Web Client</v>
      </c>
      <c r="L234" s="13">
        <v>113</v>
      </c>
      <c r="M234" s="13">
        <v>149</v>
      </c>
      <c r="N234" s="13">
        <v>0</v>
      </c>
      <c r="O234" s="15"/>
      <c r="P234" s="6">
        <v>42823.425381944442</v>
      </c>
      <c r="Q234" s="18" t="s">
        <v>256</v>
      </c>
      <c r="R234" s="19" t="s">
        <v>1634</v>
      </c>
      <c r="S234" s="11"/>
      <c r="T234" s="11"/>
      <c r="U234" s="10" t="str">
        <f>HYPERLINK("https://pbs.twimg.com/profile_images/849934217798725633/8xc5FOHt.jpg","View")</f>
        <v>View</v>
      </c>
    </row>
    <row r="235" spans="1:21" ht="51">
      <c r="A235" s="6">
        <v>43442.555648148147</v>
      </c>
      <c r="B235" s="7" t="str">
        <f>HYPERLINK("https://twitter.com/PBMarbeMalaga","@PBMarbeMalaga")</f>
        <v>@PBMarbeMalaga</v>
      </c>
      <c r="C235" s="8" t="s">
        <v>1635</v>
      </c>
      <c r="D235" s="9" t="s">
        <v>1636</v>
      </c>
      <c r="E235" s="10" t="str">
        <f>HYPERLINK("https://twitter.com/PBMarbeMalaga/status/1071378894920519681","1071378894920519681")</f>
        <v>1071378894920519681</v>
      </c>
      <c r="F235" s="11"/>
      <c r="G235" s="11"/>
      <c r="H235" s="11"/>
      <c r="I235" s="13">
        <v>0</v>
      </c>
      <c r="J235" s="13">
        <v>0</v>
      </c>
      <c r="K235" s="14" t="str">
        <f>HYPERLINK("https://javitang.ddns.net","PBMarbeMalaga")</f>
        <v>PBMarbeMalaga</v>
      </c>
      <c r="L235" s="13">
        <v>1316</v>
      </c>
      <c r="M235" s="13">
        <v>1358</v>
      </c>
      <c r="N235" s="13">
        <v>2</v>
      </c>
      <c r="O235" s="15"/>
      <c r="P235" s="6">
        <v>43149.814074074078</v>
      </c>
      <c r="Q235" s="18" t="s">
        <v>1637</v>
      </c>
      <c r="R235" s="19" t="s">
        <v>1638</v>
      </c>
      <c r="S235" s="11"/>
      <c r="T235" s="11"/>
      <c r="U235" s="10" t="str">
        <f>HYPERLINK("https://pbs.twimg.com/profile_images/965296691145531392/sAFnfUu2.jpg","View")</f>
        <v>View</v>
      </c>
    </row>
    <row r="236" spans="1:21" ht="40.799999999999997">
      <c r="A236" s="6">
        <v>43442.555405092593</v>
      </c>
      <c r="B236" s="7" t="str">
        <f>HYPERLINK("https://twitter.com/MariGaila1","@MariGaila1")</f>
        <v>@MariGaila1</v>
      </c>
      <c r="C236" s="8" t="s">
        <v>1639</v>
      </c>
      <c r="D236" s="9" t="s">
        <v>1640</v>
      </c>
      <c r="E236" s="10" t="str">
        <f>HYPERLINK("https://twitter.com/MariGaila1/status/1071378808262062080","1071378808262062080")</f>
        <v>1071378808262062080</v>
      </c>
      <c r="F236" s="12" t="s">
        <v>280</v>
      </c>
      <c r="G236" s="11"/>
      <c r="H236" s="11"/>
      <c r="I236" s="13">
        <v>0</v>
      </c>
      <c r="J236" s="13">
        <v>0</v>
      </c>
      <c r="K236" s="14" t="str">
        <f t="shared" ref="K236:K237" si="38">HYPERLINK("http://twitter.com/download/android","Twitter for Android")</f>
        <v>Twitter for Android</v>
      </c>
      <c r="L236" s="13">
        <v>6</v>
      </c>
      <c r="M236" s="13">
        <v>26</v>
      </c>
      <c r="N236" s="13">
        <v>0</v>
      </c>
      <c r="O236" s="15"/>
      <c r="P236" s="6">
        <v>43427.349872685183</v>
      </c>
      <c r="Q236" s="18" t="s">
        <v>1645</v>
      </c>
      <c r="R236" s="17"/>
      <c r="S236" s="11"/>
      <c r="T236" s="11"/>
      <c r="U236" s="10" t="str">
        <f>HYPERLINK("https://pbs.twimg.com/profile_images/1070767633874718720/eeetXV_n.jpg","View")</f>
        <v>View</v>
      </c>
    </row>
    <row r="237" spans="1:21" ht="20.399999999999999">
      <c r="A237" s="6">
        <v>43442.554710648154</v>
      </c>
      <c r="B237" s="7" t="str">
        <f>HYPERLINK("https://twitter.com/elenafurlani1","@elenafurlani1")</f>
        <v>@elenafurlani1</v>
      </c>
      <c r="C237" s="8" t="s">
        <v>1646</v>
      </c>
      <c r="D237" s="9" t="s">
        <v>1647</v>
      </c>
      <c r="E237" s="10" t="str">
        <f>HYPERLINK("https://twitter.com/elenafurlani1/status/1071378554192056320","1071378554192056320")</f>
        <v>1071378554192056320</v>
      </c>
      <c r="F237" s="12" t="s">
        <v>1650</v>
      </c>
      <c r="G237" s="11"/>
      <c r="H237" s="11"/>
      <c r="I237" s="13">
        <v>0</v>
      </c>
      <c r="J237" s="13">
        <v>0</v>
      </c>
      <c r="K237" s="14" t="str">
        <f t="shared" si="38"/>
        <v>Twitter for Android</v>
      </c>
      <c r="L237" s="13">
        <v>349</v>
      </c>
      <c r="M237" s="13">
        <v>215</v>
      </c>
      <c r="N237" s="13">
        <v>0</v>
      </c>
      <c r="O237" s="15"/>
      <c r="P237" s="6">
        <v>40913.899953703702</v>
      </c>
      <c r="Q237" s="11"/>
      <c r="R237" s="17"/>
      <c r="S237" s="11"/>
      <c r="T237" s="11"/>
      <c r="U237" s="10" t="str">
        <f>HYPERLINK("https://pbs.twimg.com/profile_images/1038406887052591105/4xH9Vpcz.jpg","View")</f>
        <v>View</v>
      </c>
    </row>
    <row r="238" spans="1:21" ht="40.799999999999997">
      <c r="A238" s="6">
        <v>43442.553657407407</v>
      </c>
      <c r="B238" s="7" t="str">
        <f>HYPERLINK("https://twitter.com/enriquedediegov","@enriquedediegov")</f>
        <v>@enriquedediegov</v>
      </c>
      <c r="C238" s="8" t="s">
        <v>234</v>
      </c>
      <c r="D238" s="9" t="s">
        <v>235</v>
      </c>
      <c r="E238" s="10" t="str">
        <f>HYPERLINK("https://twitter.com/enriquedediegov/status/1071378174947287040","1071378174947287040")</f>
        <v>1071378174947287040</v>
      </c>
      <c r="F238" s="12" t="s">
        <v>1653</v>
      </c>
      <c r="G238" s="11"/>
      <c r="H238" s="11"/>
      <c r="I238" s="13">
        <v>3</v>
      </c>
      <c r="J238" s="13">
        <v>4</v>
      </c>
      <c r="K238" s="14" t="str">
        <f>HYPERLINK("http://twitter.com","Twitter Web Client")</f>
        <v>Twitter Web Client</v>
      </c>
      <c r="L238" s="13">
        <v>7792</v>
      </c>
      <c r="M238" s="13">
        <v>6053</v>
      </c>
      <c r="N238" s="13">
        <v>179</v>
      </c>
      <c r="O238" s="15"/>
      <c r="P238" s="6">
        <v>41293.717129629629</v>
      </c>
      <c r="Q238" s="18" t="s">
        <v>42</v>
      </c>
      <c r="R238" s="19" t="s">
        <v>239</v>
      </c>
      <c r="S238" s="12" t="s">
        <v>240</v>
      </c>
      <c r="T238" s="11"/>
      <c r="U238" s="10" t="str">
        <f>HYPERLINK("https://pbs.twimg.com/profile_images/3129623790/4ae197d01442e05dee4622297c3b9642.jpeg","View")</f>
        <v>View</v>
      </c>
    </row>
    <row r="239" spans="1:21" ht="51">
      <c r="A239" s="6">
        <v>43442.553460648152</v>
      </c>
      <c r="B239" s="7" t="str">
        <f>HYPERLINK("https://twitter.com/DavidSabido3","@DavidSabido3")</f>
        <v>@DavidSabido3</v>
      </c>
      <c r="C239" s="8" t="s">
        <v>1658</v>
      </c>
      <c r="D239" s="9" t="s">
        <v>1659</v>
      </c>
      <c r="E239" s="10" t="str">
        <f>HYPERLINK("https://twitter.com/DavidSabido3/status/1071378104231358467","1071378104231358467")</f>
        <v>1071378104231358467</v>
      </c>
      <c r="F239" s="11"/>
      <c r="G239" s="11"/>
      <c r="H239" s="11"/>
      <c r="I239" s="13">
        <v>0</v>
      </c>
      <c r="J239" s="13">
        <v>2</v>
      </c>
      <c r="K239" s="14" t="str">
        <f>HYPERLINK("http://twitter.com/download/iphone","Twitter for iPhone")</f>
        <v>Twitter for iPhone</v>
      </c>
      <c r="L239" s="13">
        <v>266</v>
      </c>
      <c r="M239" s="13">
        <v>820</v>
      </c>
      <c r="N239" s="13">
        <v>2</v>
      </c>
      <c r="O239" s="15"/>
      <c r="P239" s="6">
        <v>43258.506331018521</v>
      </c>
      <c r="Q239" s="18" t="s">
        <v>42</v>
      </c>
      <c r="R239" s="19" t="s">
        <v>1664</v>
      </c>
      <c r="S239" s="11"/>
      <c r="T239" s="11"/>
      <c r="U239" s="10" t="str">
        <f>HYPERLINK("https://pbs.twimg.com/profile_images/1012815877379706883/a8mBFPXL.jpg","View")</f>
        <v>View</v>
      </c>
    </row>
    <row r="240" spans="1:21" ht="30.6">
      <c r="A240" s="6">
        <v>43442.553368055553</v>
      </c>
      <c r="B240" s="7" t="str">
        <f>HYPERLINK("https://twitter.com/GranCanariaTv","@GranCanariaTv")</f>
        <v>@GranCanariaTv</v>
      </c>
      <c r="C240" s="8" t="s">
        <v>1666</v>
      </c>
      <c r="D240" s="9" t="s">
        <v>1667</v>
      </c>
      <c r="E240" s="10" t="str">
        <f>HYPERLINK("https://twitter.com/GranCanariaTv/status/1071378067938050049","1071378067938050049")</f>
        <v>1071378067938050049</v>
      </c>
      <c r="F240" s="12" t="s">
        <v>1668</v>
      </c>
      <c r="G240" s="11"/>
      <c r="H240" s="11"/>
      <c r="I240" s="13">
        <v>0</v>
      </c>
      <c r="J240" s="13">
        <v>0</v>
      </c>
      <c r="K240" s="14" t="str">
        <f t="shared" ref="K240:K241" si="39">HYPERLINK("http://twitter.com","Twitter Web Client")</f>
        <v>Twitter Web Client</v>
      </c>
      <c r="L240" s="13">
        <v>5011</v>
      </c>
      <c r="M240" s="13">
        <v>3353</v>
      </c>
      <c r="N240" s="13">
        <v>99</v>
      </c>
      <c r="O240" s="15"/>
      <c r="P240" s="6">
        <v>40504.989155092597</v>
      </c>
      <c r="Q240" s="18" t="s">
        <v>98</v>
      </c>
      <c r="R240" s="19" t="s">
        <v>1672</v>
      </c>
      <c r="S240" s="12" t="s">
        <v>1673</v>
      </c>
      <c r="T240" s="11"/>
      <c r="U240" s="10" t="str">
        <f>HYPERLINK("https://pbs.twimg.com/profile_images/728335785527758848/RP6AGTBc.jpg","View")</f>
        <v>View</v>
      </c>
    </row>
    <row r="241" spans="1:21" ht="40.799999999999997">
      <c r="A241" s="6">
        <v>43442.55333333333</v>
      </c>
      <c r="B241" s="7" t="str">
        <f>HYPERLINK("https://twitter.com/ElDestroyer4","@ElDestroyer4")</f>
        <v>@ElDestroyer4</v>
      </c>
      <c r="C241" s="8" t="s">
        <v>1675</v>
      </c>
      <c r="D241" s="9" t="s">
        <v>1676</v>
      </c>
      <c r="E241" s="10" t="str">
        <f>HYPERLINK("https://twitter.com/ElDestroyer4/status/1071378056579813376","1071378056579813376")</f>
        <v>1071378056579813376</v>
      </c>
      <c r="F241" s="11"/>
      <c r="G241" s="11"/>
      <c r="H241" s="11"/>
      <c r="I241" s="13">
        <v>0</v>
      </c>
      <c r="J241" s="13">
        <v>0</v>
      </c>
      <c r="K241" s="14" t="str">
        <f t="shared" si="39"/>
        <v>Twitter Web Client</v>
      </c>
      <c r="L241" s="13">
        <v>6</v>
      </c>
      <c r="M241" s="13">
        <v>53</v>
      </c>
      <c r="N241" s="13">
        <v>0</v>
      </c>
      <c r="O241" s="15"/>
      <c r="P241" s="6">
        <v>43437.330578703702</v>
      </c>
      <c r="Q241" s="18" t="s">
        <v>1679</v>
      </c>
      <c r="R241" s="19" t="s">
        <v>1680</v>
      </c>
      <c r="S241" s="11"/>
      <c r="T241" s="11"/>
      <c r="U241" s="10" t="str">
        <f>HYPERLINK("https://pbs.twimg.com/profile_images/1069486410300907520/H05cDWY5.jpg","View")</f>
        <v>View</v>
      </c>
    </row>
    <row r="242" spans="1:21" ht="40.799999999999997">
      <c r="A242" s="6">
        <v>43442.553275462968</v>
      </c>
      <c r="B242" s="7" t="str">
        <f>HYPERLINK("https://twitter.com/AngelesRendn1","@AngelesRendn1")</f>
        <v>@AngelesRendn1</v>
      </c>
      <c r="C242" s="8" t="s">
        <v>1684</v>
      </c>
      <c r="D242" s="9" t="s">
        <v>285</v>
      </c>
      <c r="E242" s="10" t="str">
        <f>HYPERLINK("https://twitter.com/AngelesRendn1/status/1071378037051133952","1071378037051133952")</f>
        <v>1071378037051133952</v>
      </c>
      <c r="F242" s="12" t="s">
        <v>290</v>
      </c>
      <c r="G242" s="11"/>
      <c r="H242" s="11"/>
      <c r="I242" s="13">
        <v>6</v>
      </c>
      <c r="J242" s="13">
        <v>9</v>
      </c>
      <c r="K242" s="14" t="str">
        <f t="shared" ref="K242:K243" si="40">HYPERLINK("http://twitter.com/download/android","Twitter for Android")</f>
        <v>Twitter for Android</v>
      </c>
      <c r="L242" s="13">
        <v>8846</v>
      </c>
      <c r="M242" s="13">
        <v>6576</v>
      </c>
      <c r="N242" s="13">
        <v>71</v>
      </c>
      <c r="O242" s="15"/>
      <c r="P242" s="6">
        <v>42331.020300925928</v>
      </c>
      <c r="Q242" s="11"/>
      <c r="R242" s="19" t="s">
        <v>1688</v>
      </c>
      <c r="S242" s="11"/>
      <c r="T242" s="11"/>
      <c r="U242" s="10" t="str">
        <f>HYPERLINK("https://pbs.twimg.com/profile_images/1055244114889977856/yQvW3oet.jpg","View")</f>
        <v>View</v>
      </c>
    </row>
    <row r="243" spans="1:21" ht="71.400000000000006">
      <c r="A243" s="6">
        <v>43442.553078703699</v>
      </c>
      <c r="B243" s="7" t="str">
        <f>HYPERLINK("https://twitter.com/Jce6000Cabrera","@Jce6000Cabrera")</f>
        <v>@Jce6000Cabrera</v>
      </c>
      <c r="C243" s="8" t="s">
        <v>458</v>
      </c>
      <c r="D243" s="9" t="s">
        <v>459</v>
      </c>
      <c r="E243" s="10" t="str">
        <f>HYPERLINK("https://twitter.com/Jce6000Cabrera/status/1071377962300260354","1071377962300260354")</f>
        <v>1071377962300260354</v>
      </c>
      <c r="F243" s="18" t="s">
        <v>460</v>
      </c>
      <c r="G243" s="11"/>
      <c r="H243" s="11"/>
      <c r="I243" s="13">
        <v>0</v>
      </c>
      <c r="J243" s="13">
        <v>0</v>
      </c>
      <c r="K243" s="14" t="str">
        <f t="shared" si="40"/>
        <v>Twitter for Android</v>
      </c>
      <c r="L243" s="13">
        <v>55</v>
      </c>
      <c r="M243" s="13">
        <v>192</v>
      </c>
      <c r="N243" s="13">
        <v>0</v>
      </c>
      <c r="O243" s="15"/>
      <c r="P243" s="6">
        <v>42684.684791666667</v>
      </c>
      <c r="Q243" s="18" t="s">
        <v>462</v>
      </c>
      <c r="R243" s="19" t="s">
        <v>464</v>
      </c>
      <c r="S243" s="11"/>
      <c r="T243" s="11"/>
      <c r="U243" s="10" t="str">
        <f>HYPERLINK("https://pbs.twimg.com/profile_images/968912148800987136/xU4Ng1f6.jpg","View")</f>
        <v>View</v>
      </c>
    </row>
    <row r="244" spans="1:21" ht="13.2">
      <c r="A244" s="6">
        <v>43442.552858796298</v>
      </c>
      <c r="B244" s="7" t="str">
        <f>HYPERLINK("https://twitter.com/BORJITA26","@BORJITA26")</f>
        <v>@BORJITA26</v>
      </c>
      <c r="C244" s="8" t="s">
        <v>1693</v>
      </c>
      <c r="D244" s="9" t="s">
        <v>1694</v>
      </c>
      <c r="E244" s="10" t="str">
        <f>HYPERLINK("https://twitter.com/BORJITA26/status/1071377882679779328","1071377882679779328")</f>
        <v>1071377882679779328</v>
      </c>
      <c r="F244" s="12" t="s">
        <v>1695</v>
      </c>
      <c r="G244" s="11"/>
      <c r="H244" s="11"/>
      <c r="I244" s="13">
        <v>0</v>
      </c>
      <c r="J244" s="13">
        <v>0</v>
      </c>
      <c r="K244" s="14" t="str">
        <f>HYPERLINK("http://www.facebook.com/twitter","Facebook")</f>
        <v>Facebook</v>
      </c>
      <c r="L244" s="13">
        <v>389</v>
      </c>
      <c r="M244" s="13">
        <v>1189</v>
      </c>
      <c r="N244" s="13">
        <v>5</v>
      </c>
      <c r="O244" s="15"/>
      <c r="P244" s="6">
        <v>40628.855821759258</v>
      </c>
      <c r="Q244" s="18" t="s">
        <v>1699</v>
      </c>
      <c r="R244" s="17"/>
      <c r="S244" s="11"/>
      <c r="T244" s="11"/>
      <c r="U244" s="10" t="str">
        <f>HYPERLINK("https://pbs.twimg.com/profile_images/984834576936783872/FOAQ52YW.jpg","View")</f>
        <v>View</v>
      </c>
    </row>
    <row r="245" spans="1:21" ht="40.799999999999997">
      <c r="A245" s="6">
        <v>43442.552800925929</v>
      </c>
      <c r="B245" s="7" t="str">
        <f>HYPERLINK("https://twitter.com/Topomares","@Topomares")</f>
        <v>@Topomares</v>
      </c>
      <c r="C245" s="8" t="s">
        <v>1701</v>
      </c>
      <c r="D245" s="9" t="s">
        <v>1703</v>
      </c>
      <c r="E245" s="10" t="str">
        <f>HYPERLINK("https://twitter.com/Topomares/status/1071377863075602433","1071377863075602433")</f>
        <v>1071377863075602433</v>
      </c>
      <c r="F245" s="11"/>
      <c r="G245" s="11"/>
      <c r="H245" s="11"/>
      <c r="I245" s="13">
        <v>0</v>
      </c>
      <c r="J245" s="13">
        <v>0</v>
      </c>
      <c r="K245" s="14" t="str">
        <f>HYPERLINK("http://twitter.com/download/android","Twitter for Android")</f>
        <v>Twitter for Android</v>
      </c>
      <c r="L245" s="13">
        <v>159</v>
      </c>
      <c r="M245" s="13">
        <v>616</v>
      </c>
      <c r="N245" s="13">
        <v>2</v>
      </c>
      <c r="O245" s="15"/>
      <c r="P245" s="6">
        <v>40416.968703703707</v>
      </c>
      <c r="Q245" s="18" t="s">
        <v>1705</v>
      </c>
      <c r="R245" s="19" t="s">
        <v>1706</v>
      </c>
      <c r="S245" s="12" t="s">
        <v>1707</v>
      </c>
      <c r="T245" s="11"/>
      <c r="U245" s="10" t="str">
        <f>HYPERLINK("https://pbs.twimg.com/profile_images/2234681090/pa_youtube.JPG","View")</f>
        <v>View</v>
      </c>
    </row>
    <row r="246" spans="1:21" ht="20.399999999999999">
      <c r="A246" s="6">
        <v>43442.552523148144</v>
      </c>
      <c r="B246" s="7" t="str">
        <f>HYPERLINK("https://twitter.com/logomensor","@logomensor")</f>
        <v>@logomensor</v>
      </c>
      <c r="C246" s="8" t="s">
        <v>1710</v>
      </c>
      <c r="D246" s="9" t="s">
        <v>84</v>
      </c>
      <c r="E246" s="10" t="str">
        <f>HYPERLINK("https://twitter.com/logomensor/status/1071377762601058304","1071377762601058304")</f>
        <v>1071377762601058304</v>
      </c>
      <c r="F246" s="12" t="s">
        <v>1713</v>
      </c>
      <c r="G246" s="11"/>
      <c r="H246" s="11"/>
      <c r="I246" s="13">
        <v>0</v>
      </c>
      <c r="J246" s="13">
        <v>0</v>
      </c>
      <c r="K246" s="14" t="str">
        <f>HYPERLINK("http://twitter.com","Twitter Web Client")</f>
        <v>Twitter Web Client</v>
      </c>
      <c r="L246" s="13">
        <v>168</v>
      </c>
      <c r="M246" s="13">
        <v>688</v>
      </c>
      <c r="N246" s="13">
        <v>1</v>
      </c>
      <c r="O246" s="15"/>
      <c r="P246" s="6">
        <v>42861.619224537033</v>
      </c>
      <c r="Q246" s="18" t="s">
        <v>41</v>
      </c>
      <c r="R246" s="17"/>
      <c r="S246" s="11"/>
      <c r="T246" s="11"/>
      <c r="U246" s="10" t="str">
        <f>HYPERLINK("https://pbs.twimg.com/profile_images/1060858023818735616/vV8mLwRf.jpg","View")</f>
        <v>View</v>
      </c>
    </row>
    <row r="247" spans="1:21" ht="30.6">
      <c r="A247" s="6">
        <v>43442.552071759259</v>
      </c>
      <c r="B247" s="7" t="str">
        <f>HYPERLINK("https://twitter.com/sacabaoelpan","@sacabaoelpan")</f>
        <v>@sacabaoelpan</v>
      </c>
      <c r="C247" s="8" t="s">
        <v>1717</v>
      </c>
      <c r="D247" s="9" t="s">
        <v>1719</v>
      </c>
      <c r="E247" s="10" t="str">
        <f>HYPERLINK("https://twitter.com/sacabaoelpan/status/1071377598230528000","1071377598230528000")</f>
        <v>1071377598230528000</v>
      </c>
      <c r="F247" s="12" t="s">
        <v>1015</v>
      </c>
      <c r="G247" s="11"/>
      <c r="H247" s="11"/>
      <c r="I247" s="13">
        <v>0</v>
      </c>
      <c r="J247" s="13">
        <v>0</v>
      </c>
      <c r="K247" s="14" t="str">
        <f>HYPERLINK("http://twitter.com/download/android","Twitter for Android")</f>
        <v>Twitter for Android</v>
      </c>
      <c r="L247" s="13">
        <v>118</v>
      </c>
      <c r="M247" s="13">
        <v>88</v>
      </c>
      <c r="N247" s="13">
        <v>8</v>
      </c>
      <c r="O247" s="15"/>
      <c r="P247" s="6">
        <v>39412.414004629631</v>
      </c>
      <c r="Q247" s="18" t="s">
        <v>1720</v>
      </c>
      <c r="R247" s="19" t="s">
        <v>1721</v>
      </c>
      <c r="S247" s="11"/>
      <c r="T247" s="11"/>
      <c r="U247" s="10" t="str">
        <f>HYPERLINK("https://pbs.twimg.com/profile_images/1049288969626836993/LcjKwcQf.jpg","View")</f>
        <v>View</v>
      </c>
    </row>
    <row r="248" spans="1:21" ht="61.2">
      <c r="A248" s="6">
        <v>43442.552060185189</v>
      </c>
      <c r="B248" s="7" t="str">
        <f>HYPERLINK("https://twitter.com/usingneurons","@usingneurons")</f>
        <v>@usingneurons</v>
      </c>
      <c r="C248" s="8" t="s">
        <v>465</v>
      </c>
      <c r="D248" s="9" t="s">
        <v>466</v>
      </c>
      <c r="E248" s="10" t="str">
        <f>HYPERLINK("https://twitter.com/usingneurons/status/1071377595999113216","1071377595999113216")</f>
        <v>1071377595999113216</v>
      </c>
      <c r="F248" s="11"/>
      <c r="G248" s="11"/>
      <c r="H248" s="11"/>
      <c r="I248" s="13">
        <v>0</v>
      </c>
      <c r="J248" s="13">
        <v>0</v>
      </c>
      <c r="K248" s="14" t="str">
        <f>HYPERLINK("http://twitter.com","Twitter Web Client")</f>
        <v>Twitter Web Client</v>
      </c>
      <c r="L248" s="13">
        <v>927</v>
      </c>
      <c r="M248" s="13">
        <v>901</v>
      </c>
      <c r="N248" s="13">
        <v>21</v>
      </c>
      <c r="O248" s="15"/>
      <c r="P248" s="6">
        <v>41781.782407407409</v>
      </c>
      <c r="Q248" s="11"/>
      <c r="R248" s="19" t="s">
        <v>470</v>
      </c>
      <c r="S248" s="11"/>
      <c r="T248" s="11"/>
      <c r="U248" s="10" t="str">
        <f>HYPERLINK("https://pbs.twimg.com/profile_images/497787841733066752/jnJEf2Rm.jpeg","View")</f>
        <v>View</v>
      </c>
    </row>
    <row r="249" spans="1:21" ht="20.399999999999999">
      <c r="A249" s="6">
        <v>43442.551736111112</v>
      </c>
      <c r="B249" s="7" t="str">
        <f>HYPERLINK("https://twitter.com/PatujuNoticias","@PatujuNoticias")</f>
        <v>@PatujuNoticias</v>
      </c>
      <c r="C249" s="8" t="s">
        <v>1724</v>
      </c>
      <c r="D249" s="9" t="s">
        <v>347</v>
      </c>
      <c r="E249" s="10" t="str">
        <f>HYPERLINK("https://twitter.com/PatujuNoticias/status/1071377477853986816","1071377477853986816")</f>
        <v>1071377477853986816</v>
      </c>
      <c r="F249" s="12" t="s">
        <v>166</v>
      </c>
      <c r="G249" s="11"/>
      <c r="H249" s="11"/>
      <c r="I249" s="13">
        <v>0</v>
      </c>
      <c r="J249" s="13">
        <v>0</v>
      </c>
      <c r="K249" s="14" t="str">
        <f>HYPERLINK("http://www.facebook.com/twitter","Facebook")</f>
        <v>Facebook</v>
      </c>
      <c r="L249" s="13">
        <v>2412</v>
      </c>
      <c r="M249" s="13">
        <v>624</v>
      </c>
      <c r="N249" s="13">
        <v>27</v>
      </c>
      <c r="O249" s="15"/>
      <c r="P249" s="6">
        <v>40762.14366898148</v>
      </c>
      <c r="Q249" s="18" t="s">
        <v>1725</v>
      </c>
      <c r="R249" s="19" t="s">
        <v>1726</v>
      </c>
      <c r="S249" s="11"/>
      <c r="T249" s="11"/>
      <c r="U249" s="10" t="str">
        <f>HYPERLINK("https://pbs.twimg.com/profile_images/442460960758833152/RoRHlmY3.jpeg","View")</f>
        <v>View</v>
      </c>
    </row>
    <row r="250" spans="1:21" ht="13.2">
      <c r="A250" s="6">
        <v>43442.55164351852</v>
      </c>
      <c r="B250" s="7" t="str">
        <f>HYPERLINK("https://twitter.com/mscbcn2015","@mscbcn2015")</f>
        <v>@mscbcn2015</v>
      </c>
      <c r="C250" s="8" t="s">
        <v>1728</v>
      </c>
      <c r="D250" s="9" t="s">
        <v>612</v>
      </c>
      <c r="E250" s="10" t="str">
        <f>HYPERLINK("https://twitter.com/mscbcn2015/status/1071377443498459136","1071377443498459136")</f>
        <v>1071377443498459136</v>
      </c>
      <c r="F250" s="12" t="s">
        <v>49</v>
      </c>
      <c r="G250" s="11"/>
      <c r="H250" s="11"/>
      <c r="I250" s="13">
        <v>0</v>
      </c>
      <c r="J250" s="13">
        <v>0</v>
      </c>
      <c r="K250" s="14" t="str">
        <f>HYPERLINK("http://twitter.com/download/iphone","Twitter for iPhone")</f>
        <v>Twitter for iPhone</v>
      </c>
      <c r="L250" s="13">
        <v>63</v>
      </c>
      <c r="M250" s="13">
        <v>712</v>
      </c>
      <c r="N250" s="13">
        <v>0</v>
      </c>
      <c r="O250" s="15"/>
      <c r="P250" s="6">
        <v>42326.553854166668</v>
      </c>
      <c r="Q250" s="18" t="s">
        <v>1730</v>
      </c>
      <c r="R250" s="19" t="s">
        <v>1731</v>
      </c>
      <c r="S250" s="11"/>
      <c r="T250" s="11"/>
      <c r="U250" s="10" t="str">
        <f>HYPERLINK("https://pbs.twimg.com/profile_images/780896954414948353/MTBSW9fs.jpg","View")</f>
        <v>View</v>
      </c>
    </row>
    <row r="251" spans="1:21" ht="30.6">
      <c r="A251" s="6">
        <v>43442.551574074074</v>
      </c>
      <c r="B251" s="7" t="str">
        <f>HYPERLINK("https://twitter.com/RTn_Man","@RTn_Man")</f>
        <v>@RTn_Man</v>
      </c>
      <c r="C251" s="8" t="s">
        <v>1734</v>
      </c>
      <c r="D251" s="9" t="s">
        <v>1735</v>
      </c>
      <c r="E251" s="10" t="str">
        <f>HYPERLINK("https://twitter.com/RTn_Man/status/1071377419821563904","1071377419821563904")</f>
        <v>1071377419821563904</v>
      </c>
      <c r="F251" s="12" t="s">
        <v>1736</v>
      </c>
      <c r="G251" s="11"/>
      <c r="H251" s="11"/>
      <c r="I251" s="13">
        <v>0</v>
      </c>
      <c r="J251" s="13">
        <v>0</v>
      </c>
      <c r="K251" s="14" t="str">
        <f>HYPERLINK("https://ifttt.com","IFTTT")</f>
        <v>IFTTT</v>
      </c>
      <c r="L251" s="13">
        <v>306</v>
      </c>
      <c r="M251" s="13">
        <v>668</v>
      </c>
      <c r="N251" s="13">
        <v>9</v>
      </c>
      <c r="O251" s="15"/>
      <c r="P251" s="6">
        <v>42379.266817129625</v>
      </c>
      <c r="Q251" s="18" t="s">
        <v>41</v>
      </c>
      <c r="R251" s="19" t="s">
        <v>1739</v>
      </c>
      <c r="S251" s="12" t="s">
        <v>1741</v>
      </c>
      <c r="T251" s="11"/>
      <c r="U251" s="10" t="str">
        <f>HYPERLINK("https://pbs.twimg.com/profile_images/967046943917658113/YLvul0hh.jpg","View")</f>
        <v>View</v>
      </c>
    </row>
    <row r="252" spans="1:21" ht="40.799999999999997">
      <c r="A252" s="6">
        <v>43442.551527777774</v>
      </c>
      <c r="B252" s="7" t="str">
        <f>HYPERLINK("https://twitter.com/Abraxas1968","@Abraxas1968")</f>
        <v>@Abraxas1968</v>
      </c>
      <c r="C252" s="8" t="s">
        <v>1742</v>
      </c>
      <c r="D252" s="9" t="s">
        <v>163</v>
      </c>
      <c r="E252" s="10" t="str">
        <f>HYPERLINK("https://twitter.com/Abraxas1968/status/1071377400536162306","1071377400536162306")</f>
        <v>1071377400536162306</v>
      </c>
      <c r="F252" s="12" t="s">
        <v>166</v>
      </c>
      <c r="G252" s="11"/>
      <c r="H252" s="11"/>
      <c r="I252" s="13">
        <v>0</v>
      </c>
      <c r="J252" s="13">
        <v>0</v>
      </c>
      <c r="K252" s="14" t="str">
        <f>HYPERLINK("http://twitter.com/download/iphone","Twitter for iPhone")</f>
        <v>Twitter for iPhone</v>
      </c>
      <c r="L252" s="13">
        <v>281</v>
      </c>
      <c r="M252" s="13">
        <v>710</v>
      </c>
      <c r="N252" s="13">
        <v>2</v>
      </c>
      <c r="O252" s="15"/>
      <c r="P252" s="6">
        <v>40825.892233796294</v>
      </c>
      <c r="Q252" s="18" t="s">
        <v>41</v>
      </c>
      <c r="R252" s="19" t="s">
        <v>1746</v>
      </c>
      <c r="S252" s="11"/>
      <c r="T252" s="11"/>
      <c r="U252" s="10" t="str">
        <f>HYPERLINK("https://pbs.twimg.com/profile_images/938619501226033152/PJOnpy6c.jpg","View")</f>
        <v>View</v>
      </c>
    </row>
    <row r="253" spans="1:21" ht="30.6">
      <c r="A253" s="6">
        <v>43442.551377314812</v>
      </c>
      <c r="B253" s="7" t="str">
        <f>HYPERLINK("https://twitter.com/brunobergeide","@brunobergeide")</f>
        <v>@brunobergeide</v>
      </c>
      <c r="C253" s="8" t="s">
        <v>1748</v>
      </c>
      <c r="D253" s="9" t="s">
        <v>137</v>
      </c>
      <c r="E253" s="10" t="str">
        <f>HYPERLINK("https://twitter.com/brunobergeide/status/1071377348379983874","1071377348379983874")</f>
        <v>1071377348379983874</v>
      </c>
      <c r="F253" s="12" t="s">
        <v>1751</v>
      </c>
      <c r="G253" s="11"/>
      <c r="H253" s="11"/>
      <c r="I253" s="13">
        <v>1</v>
      </c>
      <c r="J253" s="13">
        <v>0</v>
      </c>
      <c r="K253" s="14" t="str">
        <f t="shared" ref="K253:K254" si="41">HYPERLINK("http://twitter.com/download/android","Twitter for Android")</f>
        <v>Twitter for Android</v>
      </c>
      <c r="L253" s="13">
        <v>52</v>
      </c>
      <c r="M253" s="13">
        <v>188</v>
      </c>
      <c r="N253" s="13">
        <v>0</v>
      </c>
      <c r="O253" s="15"/>
      <c r="P253" s="6">
        <v>41741.812881944446</v>
      </c>
      <c r="Q253" s="18" t="s">
        <v>1753</v>
      </c>
      <c r="R253" s="19" t="s">
        <v>1754</v>
      </c>
      <c r="S253" s="11"/>
      <c r="T253" s="11"/>
      <c r="U253" s="10" t="str">
        <f>HYPERLINK("https://pbs.twimg.com/profile_images/455042940906135552/kdgdbLUi.jpeg","View")</f>
        <v>View</v>
      </c>
    </row>
    <row r="254" spans="1:21" ht="40.799999999999997">
      <c r="A254" s="6">
        <v>43442.551342592589</v>
      </c>
      <c r="B254" s="7" t="str">
        <f>HYPERLINK("https://twitter.com/franmeseba","@franmeseba")</f>
        <v>@franmeseba</v>
      </c>
      <c r="C254" s="8" t="s">
        <v>471</v>
      </c>
      <c r="D254" s="9" t="s">
        <v>472</v>
      </c>
      <c r="E254" s="10" t="str">
        <f>HYPERLINK("https://twitter.com/franmeseba/status/1071377334148706306","1071377334148706306")</f>
        <v>1071377334148706306</v>
      </c>
      <c r="F254" s="12" t="s">
        <v>473</v>
      </c>
      <c r="G254" s="11"/>
      <c r="H254" s="11"/>
      <c r="I254" s="13">
        <v>0</v>
      </c>
      <c r="J254" s="13">
        <v>0</v>
      </c>
      <c r="K254" s="14" t="str">
        <f t="shared" si="41"/>
        <v>Twitter for Android</v>
      </c>
      <c r="L254" s="13">
        <v>247</v>
      </c>
      <c r="M254" s="13">
        <v>1373</v>
      </c>
      <c r="N254" s="13">
        <v>5</v>
      </c>
      <c r="O254" s="15"/>
      <c r="P254" s="6">
        <v>40492.733391203699</v>
      </c>
      <c r="Q254" s="11"/>
      <c r="R254" s="19" t="s">
        <v>474</v>
      </c>
      <c r="S254" s="11"/>
      <c r="T254" s="11"/>
      <c r="U254" s="10" t="str">
        <f>HYPERLINK("https://pbs.twimg.com/profile_images/929385089892540417/qnFv7tyk.jpg","View")</f>
        <v>View</v>
      </c>
    </row>
    <row r="255" spans="1:21" ht="30.6">
      <c r="A255" s="6">
        <v>43442.550879629634</v>
      </c>
      <c r="B255" s="7" t="str">
        <f>HYPERLINK("https://twitter.com/GranCanariaTv","@GranCanariaTv")</f>
        <v>@GranCanariaTv</v>
      </c>
      <c r="C255" s="8" t="s">
        <v>1666</v>
      </c>
      <c r="D255" s="9" t="s">
        <v>1764</v>
      </c>
      <c r="E255" s="10" t="str">
        <f>HYPERLINK("https://twitter.com/GranCanariaTv/status/1071377166535929856","1071377166535929856")</f>
        <v>1071377166535929856</v>
      </c>
      <c r="F255" s="12" t="s">
        <v>697</v>
      </c>
      <c r="G255" s="11"/>
      <c r="H255" s="11"/>
      <c r="I255" s="13">
        <v>0</v>
      </c>
      <c r="J255" s="13">
        <v>0</v>
      </c>
      <c r="K255" s="14" t="str">
        <f>HYPERLINK("http://twitter.com","Twitter Web Client")</f>
        <v>Twitter Web Client</v>
      </c>
      <c r="L255" s="13">
        <v>5011</v>
      </c>
      <c r="M255" s="13">
        <v>3353</v>
      </c>
      <c r="N255" s="13">
        <v>99</v>
      </c>
      <c r="O255" s="15"/>
      <c r="P255" s="6">
        <v>40504.989155092597</v>
      </c>
      <c r="Q255" s="18" t="s">
        <v>98</v>
      </c>
      <c r="R255" s="19" t="s">
        <v>1672</v>
      </c>
      <c r="S255" s="12" t="s">
        <v>1673</v>
      </c>
      <c r="T255" s="11"/>
      <c r="U255" s="10" t="str">
        <f>HYPERLINK("https://pbs.twimg.com/profile_images/728335785527758848/RP6AGTBc.jpg","View")</f>
        <v>View</v>
      </c>
    </row>
    <row r="256" spans="1:21" ht="81.599999999999994">
      <c r="A256" s="6">
        <v>43442.549837962964</v>
      </c>
      <c r="B256" s="7" t="str">
        <f>HYPERLINK("https://twitter.com/alexsanz_95","@alexsanz_95")</f>
        <v>@alexsanz_95</v>
      </c>
      <c r="C256" s="8" t="s">
        <v>1768</v>
      </c>
      <c r="D256" s="9" t="s">
        <v>1771</v>
      </c>
      <c r="E256" s="10" t="str">
        <f>HYPERLINK("https://twitter.com/alexsanz_95/status/1071376789207805952","1071376789207805952")</f>
        <v>1071376789207805952</v>
      </c>
      <c r="F256" s="18" t="s">
        <v>1772</v>
      </c>
      <c r="G256" s="11"/>
      <c r="H256" s="11"/>
      <c r="I256" s="13">
        <v>0</v>
      </c>
      <c r="J256" s="13">
        <v>2</v>
      </c>
      <c r="K256" s="14" t="str">
        <f>HYPERLINK("http://twitter.com/download/iphone","Twitter for iPhone")</f>
        <v>Twitter for iPhone</v>
      </c>
      <c r="L256" s="13">
        <v>495</v>
      </c>
      <c r="M256" s="13">
        <v>364</v>
      </c>
      <c r="N256" s="13">
        <v>5</v>
      </c>
      <c r="O256" s="15"/>
      <c r="P256" s="6">
        <v>40898.955636574072</v>
      </c>
      <c r="Q256" s="18" t="s">
        <v>1775</v>
      </c>
      <c r="R256" s="19" t="s">
        <v>1776</v>
      </c>
      <c r="S256" s="12" t="s">
        <v>1777</v>
      </c>
      <c r="T256" s="11"/>
      <c r="U256" s="10" t="str">
        <f>HYPERLINK("https://pbs.twimg.com/profile_images/1001433668391403520/f2y3E3_2.jpg","View")</f>
        <v>View</v>
      </c>
    </row>
    <row r="257" spans="1:21" ht="71.400000000000006">
      <c r="A257" s="6">
        <v>43442.549317129626</v>
      </c>
      <c r="B257" s="7" t="str">
        <f>HYPERLINK("https://twitter.com/teletubismo","@teletubismo")</f>
        <v>@teletubismo</v>
      </c>
      <c r="C257" s="8" t="s">
        <v>475</v>
      </c>
      <c r="D257" s="9" t="s">
        <v>476</v>
      </c>
      <c r="E257" s="10" t="str">
        <f>HYPERLINK("https://twitter.com/teletubismo/status/1071376600636231680","1071376600636231680")</f>
        <v>1071376600636231680</v>
      </c>
      <c r="F257" s="11"/>
      <c r="G257" s="11"/>
      <c r="H257" s="11"/>
      <c r="I257" s="13">
        <v>0</v>
      </c>
      <c r="J257" s="13">
        <v>0</v>
      </c>
      <c r="K257" s="14" t="str">
        <f t="shared" ref="K257:K259" si="42">HYPERLINK("http://twitter.com","Twitter Web Client")</f>
        <v>Twitter Web Client</v>
      </c>
      <c r="L257" s="13">
        <v>19</v>
      </c>
      <c r="M257" s="13">
        <v>76</v>
      </c>
      <c r="N257" s="13">
        <v>0</v>
      </c>
      <c r="O257" s="15"/>
      <c r="P257" s="6">
        <v>43248.06695601852</v>
      </c>
      <c r="Q257" s="18" t="s">
        <v>477</v>
      </c>
      <c r="R257" s="19" t="s">
        <v>478</v>
      </c>
      <c r="S257" s="11"/>
      <c r="T257" s="11"/>
      <c r="U257" s="10" t="str">
        <f>HYPERLINK("https://pbs.twimg.com/profile_images/1001171846501490688/lvFrwUb6.jpg","View")</f>
        <v>View</v>
      </c>
    </row>
    <row r="258" spans="1:21" ht="40.799999999999997">
      <c r="A258" s="6">
        <v>43442.548958333333</v>
      </c>
      <c r="B258" s="7" t="str">
        <f>HYPERLINK("https://twitter.com/AlbuerneV","@AlbuerneV")</f>
        <v>@AlbuerneV</v>
      </c>
      <c r="C258" s="8" t="s">
        <v>480</v>
      </c>
      <c r="D258" s="9" t="s">
        <v>482</v>
      </c>
      <c r="E258" s="10" t="str">
        <f>HYPERLINK("https://twitter.com/AlbuerneV/status/1071376471736938496","1071376471736938496")</f>
        <v>1071376471736938496</v>
      </c>
      <c r="F258" s="12" t="s">
        <v>483</v>
      </c>
      <c r="G258" s="11"/>
      <c r="H258" s="11"/>
      <c r="I258" s="13">
        <v>0</v>
      </c>
      <c r="J258" s="13">
        <v>0</v>
      </c>
      <c r="K258" s="14" t="str">
        <f t="shared" si="42"/>
        <v>Twitter Web Client</v>
      </c>
      <c r="L258" s="13">
        <v>50</v>
      </c>
      <c r="M258" s="13">
        <v>106</v>
      </c>
      <c r="N258" s="13">
        <v>2</v>
      </c>
      <c r="O258" s="15"/>
      <c r="P258" s="6">
        <v>40783.967106481483</v>
      </c>
      <c r="Q258" s="18" t="s">
        <v>484</v>
      </c>
      <c r="R258" s="19" t="s">
        <v>485</v>
      </c>
      <c r="S258" s="11"/>
      <c r="T258" s="11"/>
      <c r="U258" s="10" t="str">
        <f>HYPERLINK("https://pbs.twimg.com/profile_images/1517986228/104_0432.jpeg","View")</f>
        <v>View</v>
      </c>
    </row>
    <row r="259" spans="1:21" ht="51">
      <c r="A259" s="6">
        <v>43442.547500000001</v>
      </c>
      <c r="B259" s="7" t="str">
        <f>HYPERLINK("https://twitter.com/angelestorreslo","@angelestorreslo")</f>
        <v>@angelestorreslo</v>
      </c>
      <c r="C259" s="8" t="s">
        <v>487</v>
      </c>
      <c r="D259" s="9" t="s">
        <v>488</v>
      </c>
      <c r="E259" s="10" t="str">
        <f>HYPERLINK("https://twitter.com/angelestorreslo/status/1071375942755463168","1071375942755463168")</f>
        <v>1071375942755463168</v>
      </c>
      <c r="F259" s="12" t="s">
        <v>489</v>
      </c>
      <c r="G259" s="11"/>
      <c r="H259" s="11"/>
      <c r="I259" s="13">
        <v>0</v>
      </c>
      <c r="J259" s="13">
        <v>0</v>
      </c>
      <c r="K259" s="14" t="str">
        <f t="shared" si="42"/>
        <v>Twitter Web Client</v>
      </c>
      <c r="L259" s="13">
        <v>1253</v>
      </c>
      <c r="M259" s="13">
        <v>2172</v>
      </c>
      <c r="N259" s="13">
        <v>36</v>
      </c>
      <c r="O259" s="15"/>
      <c r="P259" s="6">
        <v>40547.948344907403</v>
      </c>
      <c r="Q259" s="18" t="s">
        <v>256</v>
      </c>
      <c r="R259" s="19" t="s">
        <v>492</v>
      </c>
      <c r="S259" s="12" t="s">
        <v>493</v>
      </c>
      <c r="T259" s="11"/>
      <c r="U259" s="10" t="str">
        <f>HYPERLINK("https://pbs.twimg.com/profile_images/741200801960501248/xektyefD.jpg","View")</f>
        <v>View</v>
      </c>
    </row>
    <row r="260" spans="1:21" ht="20.399999999999999">
      <c r="A260" s="6">
        <v>43442.5471875</v>
      </c>
      <c r="B260" s="7" t="str">
        <f>HYPERLINK("https://twitter.com/AngelVinsero","@AngelVinsero")</f>
        <v>@AngelVinsero</v>
      </c>
      <c r="C260" s="8" t="s">
        <v>1793</v>
      </c>
      <c r="D260" s="9" t="s">
        <v>1794</v>
      </c>
      <c r="E260" s="10" t="str">
        <f>HYPERLINK("https://twitter.com/AngelVinsero/status/1071375829161164800","1071375829161164800")</f>
        <v>1071375829161164800</v>
      </c>
      <c r="F260" s="12" t="s">
        <v>1797</v>
      </c>
      <c r="G260" s="11"/>
      <c r="H260" s="11"/>
      <c r="I260" s="13">
        <v>0</v>
      </c>
      <c r="J260" s="13">
        <v>0</v>
      </c>
      <c r="K260" s="14" t="str">
        <f t="shared" ref="K260:K261" si="43">HYPERLINK("http://twitter.com/download/android","Twitter for Android")</f>
        <v>Twitter for Android</v>
      </c>
      <c r="L260" s="13">
        <v>446</v>
      </c>
      <c r="M260" s="13">
        <v>1325</v>
      </c>
      <c r="N260" s="13">
        <v>2</v>
      </c>
      <c r="O260" s="15"/>
      <c r="P260" s="6">
        <v>43003.22146990741</v>
      </c>
      <c r="Q260" s="18" t="s">
        <v>42</v>
      </c>
      <c r="R260" s="19" t="s">
        <v>1798</v>
      </c>
      <c r="S260" s="12" t="s">
        <v>1799</v>
      </c>
      <c r="T260" s="11"/>
      <c r="U260" s="10" t="str">
        <f>HYPERLINK("https://pbs.twimg.com/profile_images/1069959577398059010/oSn2B8k8.jpg","View")</f>
        <v>View</v>
      </c>
    </row>
    <row r="261" spans="1:21" ht="30.6">
      <c r="A261" s="6">
        <v>43442.546805555554</v>
      </c>
      <c r="B261" s="7" t="str">
        <f>HYPERLINK("https://twitter.com/brunobergeide","@brunobergeide")</f>
        <v>@brunobergeide</v>
      </c>
      <c r="C261" s="8" t="s">
        <v>1748</v>
      </c>
      <c r="D261" s="9" t="s">
        <v>1805</v>
      </c>
      <c r="E261" s="10" t="str">
        <f>HYPERLINK("https://twitter.com/brunobergeide/status/1071375692317843456","1071375692317843456")</f>
        <v>1071375692317843456</v>
      </c>
      <c r="F261" s="11"/>
      <c r="G261" s="11"/>
      <c r="H261" s="11"/>
      <c r="I261" s="13">
        <v>1</v>
      </c>
      <c r="J261" s="13">
        <v>1</v>
      </c>
      <c r="K261" s="14" t="str">
        <f t="shared" si="43"/>
        <v>Twitter for Android</v>
      </c>
      <c r="L261" s="13">
        <v>52</v>
      </c>
      <c r="M261" s="13">
        <v>188</v>
      </c>
      <c r="N261" s="13">
        <v>0</v>
      </c>
      <c r="O261" s="15"/>
      <c r="P261" s="6">
        <v>41741.812881944446</v>
      </c>
      <c r="Q261" s="18" t="s">
        <v>1753</v>
      </c>
      <c r="R261" s="19" t="s">
        <v>1754</v>
      </c>
      <c r="S261" s="11"/>
      <c r="T261" s="11"/>
      <c r="U261" s="10" t="str">
        <f>HYPERLINK("https://pbs.twimg.com/profile_images/455042940906135552/kdgdbLUi.jpeg","View")</f>
        <v>View</v>
      </c>
    </row>
    <row r="262" spans="1:21" ht="40.799999999999997">
      <c r="A262" s="6">
        <v>43442.545891203699</v>
      </c>
      <c r="B262" s="7" t="str">
        <f>HYPERLINK("https://twitter.com/CasoAislado_Es","@CasoAislado_Es")</f>
        <v>@CasoAislado_Es</v>
      </c>
      <c r="C262" s="8" t="s">
        <v>1812</v>
      </c>
      <c r="D262" s="9" t="s">
        <v>1813</v>
      </c>
      <c r="E262" s="10" t="str">
        <f>HYPERLINK("https://twitter.com/CasoAislado_Es/status/1071375358514089984","1071375358514089984")</f>
        <v>1071375358514089984</v>
      </c>
      <c r="F262" s="12" t="s">
        <v>86</v>
      </c>
      <c r="G262" s="11"/>
      <c r="H262" s="11"/>
      <c r="I262" s="13">
        <v>64</v>
      </c>
      <c r="J262" s="13">
        <v>55</v>
      </c>
      <c r="K262" s="14" t="str">
        <f>HYPERLINK("http://twitter.com","Twitter Web Client")</f>
        <v>Twitter Web Client</v>
      </c>
      <c r="L262" s="13">
        <v>21475</v>
      </c>
      <c r="M262" s="13">
        <v>6353</v>
      </c>
      <c r="N262" s="13">
        <v>153</v>
      </c>
      <c r="O262" s="15"/>
      <c r="P262" s="6">
        <v>40257.560439814813</v>
      </c>
      <c r="Q262" s="18" t="s">
        <v>114</v>
      </c>
      <c r="R262" s="19" t="s">
        <v>1820</v>
      </c>
      <c r="S262" s="12" t="s">
        <v>1821</v>
      </c>
      <c r="T262" s="11"/>
      <c r="U262" s="10" t="str">
        <f>HYPERLINK("https://pbs.twimg.com/profile_images/818503412702707713/QK1J8CEn.jpg","View")</f>
        <v>View</v>
      </c>
    </row>
    <row r="263" spans="1:21" ht="91.8">
      <c r="A263" s="6">
        <v>43442.545555555553</v>
      </c>
      <c r="B263" s="7" t="str">
        <f>HYPERLINK("https://twitter.com/zuleimasoleil","@zuleimasoleil")</f>
        <v>@zuleimasoleil</v>
      </c>
      <c r="C263" s="8" t="s">
        <v>496</v>
      </c>
      <c r="D263" s="9" t="s">
        <v>497</v>
      </c>
      <c r="E263" s="10" t="str">
        <f>HYPERLINK("https://twitter.com/zuleimasoleil/status/1071375236644384769","1071375236644384769")</f>
        <v>1071375236644384769</v>
      </c>
      <c r="F263" s="12" t="s">
        <v>498</v>
      </c>
      <c r="G263" s="12" t="s">
        <v>499</v>
      </c>
      <c r="H263" s="11"/>
      <c r="I263" s="13">
        <v>0</v>
      </c>
      <c r="J263" s="13">
        <v>0</v>
      </c>
      <c r="K263" s="14" t="str">
        <f>HYPERLINK("http://twitter.com/download/android","Twitter for Android")</f>
        <v>Twitter for Android</v>
      </c>
      <c r="L263" s="13">
        <v>317</v>
      </c>
      <c r="M263" s="13">
        <v>670</v>
      </c>
      <c r="N263" s="13">
        <v>10</v>
      </c>
      <c r="O263" s="15"/>
      <c r="P263" s="6">
        <v>42286.718171296292</v>
      </c>
      <c r="Q263" s="18" t="s">
        <v>246</v>
      </c>
      <c r="R263" s="19" t="s">
        <v>502</v>
      </c>
      <c r="S263" s="11"/>
      <c r="T263" s="11"/>
      <c r="U263" s="10" t="str">
        <f>HYPERLINK("https://pbs.twimg.com/profile_images/844202041958436864/7jgQDrty.jpg","View")</f>
        <v>View</v>
      </c>
    </row>
    <row r="264" spans="1:21" ht="20.399999999999999">
      <c r="A264" s="6">
        <v>43442.543611111112</v>
      </c>
      <c r="B264" s="7" t="str">
        <f>HYPERLINK("https://twitter.com/PatujuNoticias","@PatujuNoticias")</f>
        <v>@PatujuNoticias</v>
      </c>
      <c r="C264" s="8" t="s">
        <v>1724</v>
      </c>
      <c r="D264" s="9" t="s">
        <v>1833</v>
      </c>
      <c r="E264" s="10" t="str">
        <f>HYPERLINK("https://twitter.com/PatujuNoticias/status/1071374531179241474","1071374531179241474")</f>
        <v>1071374531179241474</v>
      </c>
      <c r="F264" s="12" t="s">
        <v>52</v>
      </c>
      <c r="G264" s="11"/>
      <c r="H264" s="11"/>
      <c r="I264" s="13">
        <v>0</v>
      </c>
      <c r="J264" s="13">
        <v>0</v>
      </c>
      <c r="K264" s="14" t="str">
        <f>HYPERLINK("http://www.facebook.com/twitter","Facebook")</f>
        <v>Facebook</v>
      </c>
      <c r="L264" s="13">
        <v>2412</v>
      </c>
      <c r="M264" s="13">
        <v>624</v>
      </c>
      <c r="N264" s="13">
        <v>27</v>
      </c>
      <c r="O264" s="15"/>
      <c r="P264" s="6">
        <v>40762.14366898148</v>
      </c>
      <c r="Q264" s="18" t="s">
        <v>1725</v>
      </c>
      <c r="R264" s="19" t="s">
        <v>1726</v>
      </c>
      <c r="S264" s="11"/>
      <c r="T264" s="11"/>
      <c r="U264" s="10" t="str">
        <f>HYPERLINK("https://pbs.twimg.com/profile_images/442460960758833152/RoRHlmY3.jpeg","View")</f>
        <v>View</v>
      </c>
    </row>
    <row r="265" spans="1:21" ht="40.799999999999997">
      <c r="A265" s="6">
        <v>43442.54241898148</v>
      </c>
      <c r="B265" s="7" t="str">
        <f>HYPERLINK("https://twitter.com/Gua47","@Gua47")</f>
        <v>@Gua47</v>
      </c>
      <c r="C265" s="8" t="s">
        <v>1841</v>
      </c>
      <c r="D265" s="9" t="s">
        <v>1842</v>
      </c>
      <c r="E265" s="10" t="str">
        <f>HYPERLINK("https://twitter.com/Gua47/status/1071374100533260289","1071374100533260289")</f>
        <v>1071374100533260289</v>
      </c>
      <c r="F265" s="12" t="s">
        <v>49</v>
      </c>
      <c r="G265" s="11"/>
      <c r="H265" s="11"/>
      <c r="I265" s="13">
        <v>0</v>
      </c>
      <c r="J265" s="13">
        <v>0</v>
      </c>
      <c r="K265" s="14" t="str">
        <f t="shared" ref="K265:K266" si="44">HYPERLINK("http://twitter.com","Twitter Web Client")</f>
        <v>Twitter Web Client</v>
      </c>
      <c r="L265" s="13">
        <v>1629</v>
      </c>
      <c r="M265" s="13">
        <v>1618</v>
      </c>
      <c r="N265" s="13">
        <v>31</v>
      </c>
      <c r="O265" s="15"/>
      <c r="P265" s="6">
        <v>40931.849710648152</v>
      </c>
      <c r="Q265" s="11"/>
      <c r="R265" s="19" t="s">
        <v>1846</v>
      </c>
      <c r="S265" s="11"/>
      <c r="T265" s="11"/>
      <c r="U265" s="10" t="str">
        <f>HYPERLINK("https://pbs.twimg.com/profile_images/1036679509708296193/orx6O1uK.jpg","View")</f>
        <v>View</v>
      </c>
    </row>
    <row r="266" spans="1:21" ht="51">
      <c r="A266" s="6">
        <v>43442.542314814811</v>
      </c>
      <c r="B266" s="7" t="str">
        <f>HYPERLINK("https://twitter.com/MariaPazosMoran","@MariaPazosMoran")</f>
        <v>@MariaPazosMoran</v>
      </c>
      <c r="C266" s="8" t="s">
        <v>504</v>
      </c>
      <c r="D266" s="9" t="s">
        <v>505</v>
      </c>
      <c r="E266" s="10" t="str">
        <f>HYPERLINK("https://twitter.com/MariaPazosMoran/status/1071374065011736576","1071374065011736576")</f>
        <v>1071374065011736576</v>
      </c>
      <c r="F266" s="12" t="s">
        <v>507</v>
      </c>
      <c r="G266" s="11"/>
      <c r="H266" s="11"/>
      <c r="I266" s="13">
        <v>0</v>
      </c>
      <c r="J266" s="13">
        <v>0</v>
      </c>
      <c r="K266" s="14" t="str">
        <f t="shared" si="44"/>
        <v>Twitter Web Client</v>
      </c>
      <c r="L266" s="13">
        <v>2297</v>
      </c>
      <c r="M266" s="13">
        <v>959</v>
      </c>
      <c r="N266" s="13">
        <v>59</v>
      </c>
      <c r="O266" s="15"/>
      <c r="P266" s="6">
        <v>42001.430902777778</v>
      </c>
      <c r="Q266" s="18" t="s">
        <v>307</v>
      </c>
      <c r="R266" s="19" t="s">
        <v>508</v>
      </c>
      <c r="S266" s="12" t="s">
        <v>509</v>
      </c>
      <c r="T266" s="11"/>
      <c r="U266" s="10" t="str">
        <f>HYPERLINK("https://pbs.twimg.com/profile_images/1065905694350684160/4AxasZfe.jpg","View")</f>
        <v>View</v>
      </c>
    </row>
    <row r="267" spans="1:21" ht="30.6">
      <c r="A267" s="6">
        <v>43442.542071759264</v>
      </c>
      <c r="B267" s="7" t="str">
        <f>HYPERLINK("https://twitter.com/quediario","@quediario")</f>
        <v>@quediario</v>
      </c>
      <c r="C267" s="8" t="s">
        <v>1854</v>
      </c>
      <c r="D267" s="9" t="s">
        <v>1856</v>
      </c>
      <c r="E267" s="10" t="str">
        <f>HYPERLINK("https://twitter.com/quediario/status/1071373973886251008","1071373973886251008")</f>
        <v>1071373973886251008</v>
      </c>
      <c r="F267" s="12" t="s">
        <v>1858</v>
      </c>
      <c r="G267" s="12" t="s">
        <v>1860</v>
      </c>
      <c r="H267" s="11"/>
      <c r="I267" s="13">
        <v>2</v>
      </c>
      <c r="J267" s="13">
        <v>1</v>
      </c>
      <c r="K267" s="14" t="str">
        <f t="shared" ref="K267:K268" si="45">HYPERLINK("https://www.hootsuite.com","Hootsuite Inc.")</f>
        <v>Hootsuite Inc.</v>
      </c>
      <c r="L267" s="13">
        <v>42127</v>
      </c>
      <c r="M267" s="13">
        <v>19449</v>
      </c>
      <c r="N267" s="13">
        <v>902</v>
      </c>
      <c r="O267" s="16" t="s">
        <v>25</v>
      </c>
      <c r="P267" s="6">
        <v>39904.468252314815</v>
      </c>
      <c r="Q267" s="18" t="s">
        <v>100</v>
      </c>
      <c r="R267" s="19" t="s">
        <v>1861</v>
      </c>
      <c r="S267" s="12" t="s">
        <v>1862</v>
      </c>
      <c r="T267" s="11"/>
      <c r="U267" s="10" t="str">
        <f>HYPERLINK("https://pbs.twimg.com/profile_images/921305149435465728/fPbLkA-k.jpg","View")</f>
        <v>View</v>
      </c>
    </row>
    <row r="268" spans="1:21" ht="20.399999999999999">
      <c r="A268" s="6">
        <v>43442.541979166665</v>
      </c>
      <c r="B268" s="7" t="str">
        <f>HYPERLINK("https://twitter.com/debate_es","@debate_es")</f>
        <v>@debate_es</v>
      </c>
      <c r="C268" s="22" t="s">
        <v>1865</v>
      </c>
      <c r="D268" s="9" t="s">
        <v>1867</v>
      </c>
      <c r="E268" s="10" t="str">
        <f>HYPERLINK("https://twitter.com/debate_es/status/1071373942466711553","1071373942466711553")</f>
        <v>1071373942466711553</v>
      </c>
      <c r="F268" s="12" t="s">
        <v>1868</v>
      </c>
      <c r="G268" s="11"/>
      <c r="H268" s="11"/>
      <c r="I268" s="13">
        <v>2</v>
      </c>
      <c r="J268" s="13">
        <v>2</v>
      </c>
      <c r="K268" s="14" t="str">
        <f t="shared" si="45"/>
        <v>Hootsuite Inc.</v>
      </c>
      <c r="L268" s="13">
        <v>1990</v>
      </c>
      <c r="M268" s="13">
        <v>0</v>
      </c>
      <c r="N268" s="13">
        <v>26</v>
      </c>
      <c r="O268" s="15"/>
      <c r="P268" s="6">
        <v>43258.540625000001</v>
      </c>
      <c r="Q268" s="11"/>
      <c r="R268" s="19" t="s">
        <v>1871</v>
      </c>
      <c r="S268" s="12" t="s">
        <v>1872</v>
      </c>
      <c r="T268" s="11"/>
      <c r="U268" s="10" t="str">
        <f>HYPERLINK("https://pbs.twimg.com/profile_images/1022497434029699073/kza_Om7G.jpg","View")</f>
        <v>View</v>
      </c>
    </row>
    <row r="269" spans="1:21" ht="30.6">
      <c r="A269" s="6">
        <v>43442.541967592595</v>
      </c>
      <c r="B269" s="7" t="str">
        <f>HYPERLINK("https://twitter.com/ddanyyeel","@ddanyyeel")</f>
        <v>@ddanyyeel</v>
      </c>
      <c r="C269" s="8" t="s">
        <v>511</v>
      </c>
      <c r="D269" s="9" t="s">
        <v>512</v>
      </c>
      <c r="E269" s="10" t="str">
        <f>HYPERLINK("https://twitter.com/ddanyyeel/status/1071373938998022144","1071373938998022144")</f>
        <v>1071373938998022144</v>
      </c>
      <c r="F269" s="11"/>
      <c r="G269" s="12" t="s">
        <v>514</v>
      </c>
      <c r="H269" s="11"/>
      <c r="I269" s="13">
        <v>3</v>
      </c>
      <c r="J269" s="13">
        <v>3</v>
      </c>
      <c r="K269" s="14" t="str">
        <f>HYPERLINK("http://twitter.com/download/iphone","Twitter for iPhone")</f>
        <v>Twitter for iPhone</v>
      </c>
      <c r="L269" s="13">
        <v>580</v>
      </c>
      <c r="M269" s="13">
        <v>1626</v>
      </c>
      <c r="N269" s="13">
        <v>4</v>
      </c>
      <c r="O269" s="15"/>
      <c r="P269" s="6">
        <v>42578.673275462963</v>
      </c>
      <c r="Q269" s="18" t="s">
        <v>515</v>
      </c>
      <c r="R269" s="19" t="s">
        <v>516</v>
      </c>
      <c r="S269" s="11"/>
      <c r="T269" s="11"/>
      <c r="U269" s="10" t="str">
        <f>HYPERLINK("https://pbs.twimg.com/profile_images/1013511982832672770/IVerKVcA.jpg","View")</f>
        <v>View</v>
      </c>
    </row>
    <row r="270" spans="1:21" ht="40.799999999999997">
      <c r="A270" s="6">
        <v>43442.541701388887</v>
      </c>
      <c r="B270" s="7" t="str">
        <f>HYPERLINK("https://twitter.com/enriquedediegov","@enriquedediegov")</f>
        <v>@enriquedediegov</v>
      </c>
      <c r="C270" s="8" t="s">
        <v>234</v>
      </c>
      <c r="D270" s="9" t="s">
        <v>235</v>
      </c>
      <c r="E270" s="10" t="str">
        <f>HYPERLINK("https://twitter.com/enriquedediegov/status/1071373839660146689","1071373839660146689")</f>
        <v>1071373839660146689</v>
      </c>
      <c r="F270" s="12" t="s">
        <v>1886</v>
      </c>
      <c r="G270" s="11"/>
      <c r="H270" s="11"/>
      <c r="I270" s="13">
        <v>3</v>
      </c>
      <c r="J270" s="13">
        <v>4</v>
      </c>
      <c r="K270" s="14" t="str">
        <f>HYPERLINK("http://twitter.com","Twitter Web Client")</f>
        <v>Twitter Web Client</v>
      </c>
      <c r="L270" s="13">
        <v>7792</v>
      </c>
      <c r="M270" s="13">
        <v>6053</v>
      </c>
      <c r="N270" s="13">
        <v>179</v>
      </c>
      <c r="O270" s="15"/>
      <c r="P270" s="6">
        <v>41293.717129629629</v>
      </c>
      <c r="Q270" s="18" t="s">
        <v>42</v>
      </c>
      <c r="R270" s="19" t="s">
        <v>239</v>
      </c>
      <c r="S270" s="12" t="s">
        <v>240</v>
      </c>
      <c r="T270" s="11"/>
      <c r="U270" s="10" t="str">
        <f>HYPERLINK("https://pbs.twimg.com/profile_images/3129623790/4ae197d01442e05dee4622297c3b9642.jpeg","View")</f>
        <v>View</v>
      </c>
    </row>
    <row r="271" spans="1:21" ht="40.799999999999997">
      <c r="A271" s="6">
        <v>43442.540300925924</v>
      </c>
      <c r="B271" s="7" t="str">
        <f>HYPERLINK("https://twitter.com/JWPepper5","@JWPepper5")</f>
        <v>@JWPepper5</v>
      </c>
      <c r="C271" s="8" t="s">
        <v>1894</v>
      </c>
      <c r="D271" s="9" t="s">
        <v>1895</v>
      </c>
      <c r="E271" s="10" t="str">
        <f>HYPERLINK("https://twitter.com/JWPepper5/status/1071373334619795456","1071373334619795456")</f>
        <v>1071373334619795456</v>
      </c>
      <c r="F271" s="11"/>
      <c r="G271" s="12" t="s">
        <v>1898</v>
      </c>
      <c r="H271" s="11"/>
      <c r="I271" s="13">
        <v>0</v>
      </c>
      <c r="J271" s="13">
        <v>0</v>
      </c>
      <c r="K271" s="14" t="str">
        <f>HYPERLINK("http://twitter.com/download/iphone","Twitter for iPhone")</f>
        <v>Twitter for iPhone</v>
      </c>
      <c r="L271" s="13">
        <v>230</v>
      </c>
      <c r="M271" s="13">
        <v>428</v>
      </c>
      <c r="N271" s="13">
        <v>2</v>
      </c>
      <c r="O271" s="15"/>
      <c r="P271" s="6">
        <v>43131.43950231481</v>
      </c>
      <c r="Q271" s="18" t="s">
        <v>1900</v>
      </c>
      <c r="R271" s="19" t="s">
        <v>1901</v>
      </c>
      <c r="S271" s="11"/>
      <c r="T271" s="11"/>
      <c r="U271" s="10" t="str">
        <f>HYPERLINK("https://pbs.twimg.com/profile_images/1069615653953380357/RSTEtR1q.jpg","View")</f>
        <v>View</v>
      </c>
    </row>
    <row r="272" spans="1:21" ht="51">
      <c r="A272" s="6">
        <v>43442.540254629625</v>
      </c>
      <c r="B272" s="7" t="str">
        <f>HYPERLINK("https://twitter.com/johnhseneca","@johnhseneca")</f>
        <v>@johnhseneca</v>
      </c>
      <c r="C272" s="8" t="s">
        <v>519</v>
      </c>
      <c r="D272" s="9" t="s">
        <v>520</v>
      </c>
      <c r="E272" s="10" t="str">
        <f>HYPERLINK("https://twitter.com/johnhseneca/status/1071373316127162368","1071373316127162368")</f>
        <v>1071373316127162368</v>
      </c>
      <c r="F272" s="11"/>
      <c r="G272" s="11"/>
      <c r="H272" s="11"/>
      <c r="I272" s="13">
        <v>0</v>
      </c>
      <c r="J272" s="13">
        <v>0</v>
      </c>
      <c r="K272" s="14" t="str">
        <f t="shared" ref="K272:K274" si="46">HYPERLINK("http://twitter.com/download/android","Twitter for Android")</f>
        <v>Twitter for Android</v>
      </c>
      <c r="L272" s="13">
        <v>90</v>
      </c>
      <c r="M272" s="13">
        <v>266</v>
      </c>
      <c r="N272" s="13">
        <v>0</v>
      </c>
      <c r="O272" s="15"/>
      <c r="P272" s="6">
        <v>41155.817708333336</v>
      </c>
      <c r="Q272" s="11"/>
      <c r="R272" s="19" t="s">
        <v>522</v>
      </c>
      <c r="S272" s="11"/>
      <c r="T272" s="11"/>
      <c r="U272" s="10" t="str">
        <f>HYPERLINK("https://pbs.twimg.com/profile_images/893397486580248577/qJqCYPBI.jpg","View")</f>
        <v>View</v>
      </c>
    </row>
    <row r="273" spans="1:21" ht="51">
      <c r="A273" s="6">
        <v>43442.539467592593</v>
      </c>
      <c r="B273" s="7" t="str">
        <f>HYPERLINK("https://twitter.com/the_raven77","@the_raven77")</f>
        <v>@the_raven77</v>
      </c>
      <c r="C273" s="8" t="s">
        <v>525</v>
      </c>
      <c r="D273" s="9" t="s">
        <v>526</v>
      </c>
      <c r="E273" s="10" t="str">
        <f>HYPERLINK("https://twitter.com/the_raven77/status/1071373029580660737","1071373029580660737")</f>
        <v>1071373029580660737</v>
      </c>
      <c r="F273" s="11"/>
      <c r="G273" s="11"/>
      <c r="H273" s="11"/>
      <c r="I273" s="13">
        <v>4</v>
      </c>
      <c r="J273" s="13">
        <v>4</v>
      </c>
      <c r="K273" s="14" t="str">
        <f t="shared" si="46"/>
        <v>Twitter for Android</v>
      </c>
      <c r="L273" s="13">
        <v>2175</v>
      </c>
      <c r="M273" s="13">
        <v>509</v>
      </c>
      <c r="N273" s="13">
        <v>16</v>
      </c>
      <c r="O273" s="15"/>
      <c r="P273" s="6">
        <v>42806.550497685181</v>
      </c>
      <c r="Q273" s="18" t="s">
        <v>529</v>
      </c>
      <c r="R273" s="19" t="s">
        <v>530</v>
      </c>
      <c r="S273" s="11"/>
      <c r="T273" s="11"/>
      <c r="U273" s="10" t="str">
        <f>HYPERLINK("https://pbs.twimg.com/profile_images/1069122409117220865/_DAgbFoI.jpg","View")</f>
        <v>View</v>
      </c>
    </row>
    <row r="274" spans="1:21" ht="20.399999999999999">
      <c r="A274" s="6">
        <v>43442.539363425924</v>
      </c>
      <c r="B274" s="7" t="str">
        <f>HYPERLINK("https://twitter.com/amaynar","@amaynar")</f>
        <v>@amaynar</v>
      </c>
      <c r="C274" s="8" t="s">
        <v>1914</v>
      </c>
      <c r="D274" s="9" t="s">
        <v>1915</v>
      </c>
      <c r="E274" s="10" t="str">
        <f>HYPERLINK("https://twitter.com/amaynar/status/1071372992909844480","1071372992909844480")</f>
        <v>1071372992909844480</v>
      </c>
      <c r="F274" s="12" t="s">
        <v>1526</v>
      </c>
      <c r="G274" s="11"/>
      <c r="H274" s="11"/>
      <c r="I274" s="13">
        <v>0</v>
      </c>
      <c r="J274" s="13">
        <v>0</v>
      </c>
      <c r="K274" s="14" t="str">
        <f t="shared" si="46"/>
        <v>Twitter for Android</v>
      </c>
      <c r="L274" s="13">
        <v>335</v>
      </c>
      <c r="M274" s="13">
        <v>306</v>
      </c>
      <c r="N274" s="13">
        <v>4</v>
      </c>
      <c r="O274" s="15"/>
      <c r="P274" s="6">
        <v>40223.428587962961</v>
      </c>
      <c r="Q274" s="11"/>
      <c r="R274" s="17"/>
      <c r="S274" s="11"/>
      <c r="T274" s="11"/>
      <c r="U274" s="10" t="str">
        <f>HYPERLINK("https://pbs.twimg.com/profile_images/1053735601139257349/H8jFJp08.jpg","View")</f>
        <v>View</v>
      </c>
    </row>
    <row r="275" spans="1:21" ht="51">
      <c r="A275" s="6">
        <v>43442.539039351846</v>
      </c>
      <c r="B275" s="7" t="str">
        <f>HYPERLINK("https://twitter.com/oya106","@oya106")</f>
        <v>@oya106</v>
      </c>
      <c r="C275" s="8" t="s">
        <v>1793</v>
      </c>
      <c r="D275" s="9" t="s">
        <v>1919</v>
      </c>
      <c r="E275" s="10" t="str">
        <f>HYPERLINK("https://twitter.com/oya106/status/1071372877650366464","1071372877650366464")</f>
        <v>1071372877650366464</v>
      </c>
      <c r="F275" s="12" t="s">
        <v>899</v>
      </c>
      <c r="G275" s="11"/>
      <c r="H275" s="11"/>
      <c r="I275" s="13">
        <v>0</v>
      </c>
      <c r="J275" s="13">
        <v>0</v>
      </c>
      <c r="K275" s="14" t="str">
        <f>HYPERLINK("http://twitter.com/#!/download/ipad","Twitter for iPad")</f>
        <v>Twitter for iPad</v>
      </c>
      <c r="L275" s="13">
        <v>3020</v>
      </c>
      <c r="M275" s="13">
        <v>3015</v>
      </c>
      <c r="N275" s="13">
        <v>1</v>
      </c>
      <c r="O275" s="15"/>
      <c r="P275" s="6">
        <v>40873.593946759262</v>
      </c>
      <c r="Q275" s="18" t="s">
        <v>1923</v>
      </c>
      <c r="R275" s="19" t="s">
        <v>1924</v>
      </c>
      <c r="S275" s="11"/>
      <c r="T275" s="11"/>
      <c r="U275" s="10" t="str">
        <f>HYPERLINK("https://pbs.twimg.com/profile_images/1069545990192066560/XeiiAa5x.jpg","View")</f>
        <v>View</v>
      </c>
    </row>
    <row r="276" spans="1:21" ht="40.799999999999997">
      <c r="A276" s="6">
        <v>43442.538136574076</v>
      </c>
      <c r="B276" s="7" t="str">
        <f>HYPERLINK("https://twitter.com/curiosoooi","@curiosoooi")</f>
        <v>@curiosoooi</v>
      </c>
      <c r="C276" s="8" t="s">
        <v>1929</v>
      </c>
      <c r="D276" s="9" t="s">
        <v>1931</v>
      </c>
      <c r="E276" s="10" t="str">
        <f>HYPERLINK("https://twitter.com/curiosoooi/status/1071372550293372928","1071372550293372928")</f>
        <v>1071372550293372928</v>
      </c>
      <c r="F276" s="12" t="s">
        <v>296</v>
      </c>
      <c r="G276" s="11"/>
      <c r="H276" s="11"/>
      <c r="I276" s="13">
        <v>19</v>
      </c>
      <c r="J276" s="13">
        <v>14</v>
      </c>
      <c r="K276" s="14" t="str">
        <f>HYPERLINK("http://twitter.com/download/android","Twitter for Android")</f>
        <v>Twitter for Android</v>
      </c>
      <c r="L276" s="13">
        <v>2294</v>
      </c>
      <c r="M276" s="13">
        <v>2441</v>
      </c>
      <c r="N276" s="13">
        <v>7</v>
      </c>
      <c r="O276" s="15"/>
      <c r="P276" s="6">
        <v>41113.212256944447</v>
      </c>
      <c r="Q276" s="11"/>
      <c r="R276" s="19" t="s">
        <v>1936</v>
      </c>
      <c r="S276" s="11"/>
      <c r="T276" s="11"/>
      <c r="U276" s="10" t="str">
        <f>HYPERLINK("https://pbs.twimg.com/profile_images/957872407733329920/CA8lCXFg.jpg","View")</f>
        <v>View</v>
      </c>
    </row>
    <row r="277" spans="1:21" ht="30.6">
      <c r="A277" s="6">
        <v>43442.537847222222</v>
      </c>
      <c r="B277" s="7" t="str">
        <f>HYPERLINK("https://twitter.com/IEO_Tabarnes","@IEO_Tabarnes")</f>
        <v>@IEO_Tabarnes</v>
      </c>
      <c r="C277" s="8" t="s">
        <v>1938</v>
      </c>
      <c r="D277" s="9" t="s">
        <v>1939</v>
      </c>
      <c r="E277" s="10" t="str">
        <f>HYPERLINK("https://twitter.com/IEO_Tabarnes/status/1071372442742984705","1071372442742984705")</f>
        <v>1071372442742984705</v>
      </c>
      <c r="F277" s="12" t="s">
        <v>1942</v>
      </c>
      <c r="G277" s="11"/>
      <c r="H277" s="11"/>
      <c r="I277" s="13">
        <v>0</v>
      </c>
      <c r="J277" s="13">
        <v>0</v>
      </c>
      <c r="K277" s="14" t="str">
        <f>HYPERLINK("http://twitter.com","Twitter Web Client")</f>
        <v>Twitter Web Client</v>
      </c>
      <c r="L277" s="13">
        <v>321</v>
      </c>
      <c r="M277" s="13">
        <v>106</v>
      </c>
      <c r="N277" s="13">
        <v>6</v>
      </c>
      <c r="O277" s="15"/>
      <c r="P277" s="6">
        <v>43101.8121875</v>
      </c>
      <c r="Q277" s="18" t="s">
        <v>671</v>
      </c>
      <c r="R277" s="19" t="s">
        <v>1946</v>
      </c>
      <c r="S277" s="11"/>
      <c r="T277" s="11"/>
      <c r="U277" s="10" t="str">
        <f>HYPERLINK("https://pbs.twimg.com/profile_images/957632621235892224/Lla2OpjL.jpg","View")</f>
        <v>View</v>
      </c>
    </row>
    <row r="278" spans="1:21" ht="40.799999999999997">
      <c r="A278" s="6">
        <v>43442.537754629629</v>
      </c>
      <c r="B278" s="7" t="str">
        <f>HYPERLINK("https://twitter.com/LFLE59","@LFLE59")</f>
        <v>@LFLE59</v>
      </c>
      <c r="C278" s="8" t="s">
        <v>532</v>
      </c>
      <c r="D278" s="9" t="s">
        <v>533</v>
      </c>
      <c r="E278" s="10" t="str">
        <f>HYPERLINK("https://twitter.com/LFLE59/status/1071372408626515968","1071372408626515968")</f>
        <v>1071372408626515968</v>
      </c>
      <c r="F278" s="11"/>
      <c r="G278" s="11"/>
      <c r="H278" s="11"/>
      <c r="I278" s="13">
        <v>0</v>
      </c>
      <c r="J278" s="13">
        <v>0</v>
      </c>
      <c r="K278" s="14" t="str">
        <f>HYPERLINK("http://twitter.com/download/android","Twitter for Android")</f>
        <v>Twitter for Android</v>
      </c>
      <c r="L278" s="13">
        <v>30</v>
      </c>
      <c r="M278" s="13">
        <v>160</v>
      </c>
      <c r="N278" s="13">
        <v>0</v>
      </c>
      <c r="O278" s="15"/>
      <c r="P278" s="6">
        <v>43221.965277777781</v>
      </c>
      <c r="Q278" s="18" t="s">
        <v>535</v>
      </c>
      <c r="R278" s="19" t="s">
        <v>536</v>
      </c>
      <c r="S278" s="11"/>
      <c r="T278" s="11"/>
      <c r="U278" s="10" t="str">
        <f>HYPERLINK("https://pbs.twimg.com/profile_images/991490161165963265/eu8t7Xp7.jpg","View")</f>
        <v>View</v>
      </c>
    </row>
    <row r="279" spans="1:21" ht="51">
      <c r="A279" s="6">
        <v>43442.537418981483</v>
      </c>
      <c r="B279" s="7" t="str">
        <f>HYPERLINK("https://twitter.com/AdeSiracusa","@AdeSiracusa")</f>
        <v>@AdeSiracusa</v>
      </c>
      <c r="C279" s="8" t="s">
        <v>682</v>
      </c>
      <c r="D279" s="9" t="s">
        <v>1954</v>
      </c>
      <c r="E279" s="10" t="str">
        <f>HYPERLINK("https://twitter.com/AdeSiracusa/status/1071372290422648832","1071372290422648832")</f>
        <v>1071372290422648832</v>
      </c>
      <c r="F279" s="12" t="s">
        <v>1955</v>
      </c>
      <c r="G279" s="11"/>
      <c r="H279" s="11"/>
      <c r="I279" s="13">
        <v>0</v>
      </c>
      <c r="J279" s="13">
        <v>0</v>
      </c>
      <c r="K279" s="14" t="str">
        <f>HYPERLINK("http://www.republicosvenezuela.com/","AdeSiracusa")</f>
        <v>AdeSiracusa</v>
      </c>
      <c r="L279" s="13">
        <v>4091</v>
      </c>
      <c r="M279" s="13">
        <v>4122</v>
      </c>
      <c r="N279" s="13">
        <v>12</v>
      </c>
      <c r="O279" s="15"/>
      <c r="P279" s="6">
        <v>42958.576388888891</v>
      </c>
      <c r="Q279" s="18" t="s">
        <v>689</v>
      </c>
      <c r="R279" s="19" t="s">
        <v>690</v>
      </c>
      <c r="S279" s="11"/>
      <c r="T279" s="11"/>
      <c r="U279" s="10" t="str">
        <f>HYPERLINK("https://pbs.twimg.com/profile_images/895978354591105024/x2wNXrPl.jpg","View")</f>
        <v>View</v>
      </c>
    </row>
    <row r="280" spans="1:21" ht="51">
      <c r="A280" s="6">
        <v>43442.535578703704</v>
      </c>
      <c r="B280" s="7" t="str">
        <f>HYPERLINK("https://twitter.com/universalsevil1","@universalsevil1")</f>
        <v>@universalsevil1</v>
      </c>
      <c r="C280" s="8" t="s">
        <v>1961</v>
      </c>
      <c r="D280" s="9" t="s">
        <v>1962</v>
      </c>
      <c r="E280" s="10" t="str">
        <f>HYPERLINK("https://twitter.com/universalsevil1/status/1071371621435351040","1071371621435351040")</f>
        <v>1071371621435351040</v>
      </c>
      <c r="F280" s="11"/>
      <c r="G280" s="12" t="s">
        <v>1963</v>
      </c>
      <c r="H280" s="11"/>
      <c r="I280" s="13">
        <v>1</v>
      </c>
      <c r="J280" s="13">
        <v>0</v>
      </c>
      <c r="K280" s="14" t="str">
        <f>HYPERLINK("http://twitter.com","Twitter Web Client")</f>
        <v>Twitter Web Client</v>
      </c>
      <c r="L280" s="13">
        <v>412</v>
      </c>
      <c r="M280" s="13">
        <v>694</v>
      </c>
      <c r="N280" s="13">
        <v>7</v>
      </c>
      <c r="O280" s="15"/>
      <c r="P280" s="6">
        <v>42373.857349537036</v>
      </c>
      <c r="Q280" s="11"/>
      <c r="R280" s="17"/>
      <c r="S280" s="11"/>
      <c r="T280" s="11"/>
      <c r="U280" s="10" t="str">
        <f>HYPERLINK("https://pbs.twimg.com/profile_images/990336265085177857/jUe7wYwz.jpg","View")</f>
        <v>View</v>
      </c>
    </row>
    <row r="281" spans="1:21" ht="61.2">
      <c r="A281" s="6">
        <v>43442.534155092595</v>
      </c>
      <c r="B281" s="7" t="str">
        <f>HYPERLINK("https://twitter.com/_Ansoc","@_Ansoc")</f>
        <v>@_Ansoc</v>
      </c>
      <c r="C281" s="8" t="s">
        <v>537</v>
      </c>
      <c r="D281" s="9" t="s">
        <v>538</v>
      </c>
      <c r="E281" s="10" t="str">
        <f>HYPERLINK("https://twitter.com/_Ansoc/status/1071371106177691648","1071371106177691648")</f>
        <v>1071371106177691648</v>
      </c>
      <c r="F281" s="18" t="s">
        <v>541</v>
      </c>
      <c r="G281" s="11"/>
      <c r="H281" s="11"/>
      <c r="I281" s="13">
        <v>2</v>
      </c>
      <c r="J281" s="13">
        <v>7</v>
      </c>
      <c r="K281" s="14" t="str">
        <f>HYPERLINK("http://twitter.com/download/android","Twitter for Android")</f>
        <v>Twitter for Android</v>
      </c>
      <c r="L281" s="13">
        <v>503</v>
      </c>
      <c r="M281" s="13">
        <v>259</v>
      </c>
      <c r="N281" s="13">
        <v>10</v>
      </c>
      <c r="O281" s="15"/>
      <c r="P281" s="6">
        <v>42717.952835648146</v>
      </c>
      <c r="Q281" s="18" t="s">
        <v>42</v>
      </c>
      <c r="R281" s="19" t="s">
        <v>543</v>
      </c>
      <c r="S281" s="11"/>
      <c r="T281" s="11"/>
      <c r="U281" s="10" t="str">
        <f>HYPERLINK("https://pbs.twimg.com/profile_images/1058752862073839616/wZW5rELR.jpg","View")</f>
        <v>View</v>
      </c>
    </row>
    <row r="282" spans="1:21" ht="40.799999999999997">
      <c r="A282" s="6">
        <v>43442.533993055556</v>
      </c>
      <c r="B282" s="7" t="str">
        <f>HYPERLINK("https://twitter.com/enriquedediegov","@enriquedediegov")</f>
        <v>@enriquedediegov</v>
      </c>
      <c r="C282" s="8" t="s">
        <v>234</v>
      </c>
      <c r="D282" s="9" t="s">
        <v>235</v>
      </c>
      <c r="E282" s="10" t="str">
        <f>HYPERLINK("https://twitter.com/enriquedediegov/status/1071371048329846785","1071371048329846785")</f>
        <v>1071371048329846785</v>
      </c>
      <c r="F282" s="12" t="s">
        <v>1969</v>
      </c>
      <c r="G282" s="11"/>
      <c r="H282" s="11"/>
      <c r="I282" s="13">
        <v>4</v>
      </c>
      <c r="J282" s="13">
        <v>3</v>
      </c>
      <c r="K282" s="14" t="str">
        <f t="shared" ref="K282:K284" si="47">HYPERLINK("http://twitter.com","Twitter Web Client")</f>
        <v>Twitter Web Client</v>
      </c>
      <c r="L282" s="13">
        <v>7792</v>
      </c>
      <c r="M282" s="13">
        <v>6053</v>
      </c>
      <c r="N282" s="13">
        <v>179</v>
      </c>
      <c r="O282" s="15"/>
      <c r="P282" s="6">
        <v>41293.717129629629</v>
      </c>
      <c r="Q282" s="18" t="s">
        <v>42</v>
      </c>
      <c r="R282" s="19" t="s">
        <v>239</v>
      </c>
      <c r="S282" s="12" t="s">
        <v>240</v>
      </c>
      <c r="T282" s="11"/>
      <c r="U282" s="10" t="str">
        <f>HYPERLINK("https://pbs.twimg.com/profile_images/3129623790/4ae197d01442e05dee4622297c3b9642.jpeg","View")</f>
        <v>View</v>
      </c>
    </row>
    <row r="283" spans="1:21" ht="51">
      <c r="A283" s="6">
        <v>43442.533622685187</v>
      </c>
      <c r="B283" s="7" t="str">
        <f>HYPERLINK("https://twitter.com/furretillo","@furretillo")</f>
        <v>@furretillo</v>
      </c>
      <c r="C283" s="8" t="s">
        <v>1975</v>
      </c>
      <c r="D283" s="9" t="s">
        <v>1978</v>
      </c>
      <c r="E283" s="10" t="str">
        <f>HYPERLINK("https://twitter.com/furretillo/status/1071370912979697670","1071370912979697670")</f>
        <v>1071370912979697670</v>
      </c>
      <c r="F283" s="11"/>
      <c r="G283" s="11"/>
      <c r="H283" s="11"/>
      <c r="I283" s="13">
        <v>0</v>
      </c>
      <c r="J283" s="13">
        <v>4</v>
      </c>
      <c r="K283" s="14" t="str">
        <f t="shared" si="47"/>
        <v>Twitter Web Client</v>
      </c>
      <c r="L283" s="13">
        <v>4710</v>
      </c>
      <c r="M283" s="13">
        <v>4003</v>
      </c>
      <c r="N283" s="13">
        <v>22</v>
      </c>
      <c r="O283" s="15"/>
      <c r="P283" s="6">
        <v>41412.937569444446</v>
      </c>
      <c r="Q283" s="11"/>
      <c r="R283" s="19" t="s">
        <v>1981</v>
      </c>
      <c r="S283" s="11"/>
      <c r="T283" s="11"/>
      <c r="U283" s="10" t="str">
        <f>HYPERLINK("https://pbs.twimg.com/profile_images/3678005210/e8150c2c2b1c85957c34007aba1973d9.jpeg","View")</f>
        <v>View</v>
      </c>
    </row>
    <row r="284" spans="1:21" ht="81.599999999999994">
      <c r="A284" s="6">
        <v>43442.533055555556</v>
      </c>
      <c r="B284" s="7" t="str">
        <f>HYPERLINK("https://twitter.com/JoaquinLpz11","@JoaquinLpz11")</f>
        <v>@JoaquinLpz11</v>
      </c>
      <c r="C284" s="8" t="s">
        <v>1984</v>
      </c>
      <c r="D284" s="9" t="s">
        <v>1985</v>
      </c>
      <c r="E284" s="10" t="str">
        <f>HYPERLINK("https://twitter.com/JoaquinLpz11/status/1071370705911066624","1071370705911066624")</f>
        <v>1071370705911066624</v>
      </c>
      <c r="F284" s="12" t="s">
        <v>1987</v>
      </c>
      <c r="G284" s="11"/>
      <c r="H284" s="11"/>
      <c r="I284" s="13">
        <v>0</v>
      </c>
      <c r="J284" s="13">
        <v>2</v>
      </c>
      <c r="K284" s="14" t="str">
        <f t="shared" si="47"/>
        <v>Twitter Web Client</v>
      </c>
      <c r="L284" s="13">
        <v>544</v>
      </c>
      <c r="M284" s="13">
        <v>406</v>
      </c>
      <c r="N284" s="13">
        <v>4</v>
      </c>
      <c r="O284" s="15"/>
      <c r="P284" s="6">
        <v>40728.707025462965</v>
      </c>
      <c r="Q284" s="18" t="s">
        <v>1988</v>
      </c>
      <c r="R284" s="19" t="s">
        <v>1989</v>
      </c>
      <c r="S284" s="12" t="s">
        <v>1990</v>
      </c>
      <c r="T284" s="11"/>
      <c r="U284" s="10" t="str">
        <f>HYPERLINK("https://pbs.twimg.com/profile_images/1025874111036383233/zZidl7sy.jpg","View")</f>
        <v>View</v>
      </c>
    </row>
    <row r="285" spans="1:21" ht="51">
      <c r="A285" s="6">
        <v>43442.532187500001</v>
      </c>
      <c r="B285" s="7" t="str">
        <f>HYPERLINK("https://twitter.com/PdeSamos","@PdeSamos")</f>
        <v>@PdeSamos</v>
      </c>
      <c r="C285" s="8" t="s">
        <v>1432</v>
      </c>
      <c r="D285" s="9" t="s">
        <v>1991</v>
      </c>
      <c r="E285" s="10" t="str">
        <f>HYPERLINK("https://twitter.com/PdeSamos/status/1071370393410301952","1071370393410301952")</f>
        <v>1071370393410301952</v>
      </c>
      <c r="F285" s="12" t="s">
        <v>1955</v>
      </c>
      <c r="G285" s="11"/>
      <c r="H285" s="11"/>
      <c r="I285" s="13">
        <v>0</v>
      </c>
      <c r="J285" s="13">
        <v>0</v>
      </c>
      <c r="K285" s="14" t="str">
        <f>HYPERLINK("http://republico.ddns.net","App Libertad PdeSamos")</f>
        <v>App Libertad PdeSamos</v>
      </c>
      <c r="L285" s="13">
        <v>5398</v>
      </c>
      <c r="M285" s="13">
        <v>5441</v>
      </c>
      <c r="N285" s="13">
        <v>12</v>
      </c>
      <c r="O285" s="15"/>
      <c r="P285" s="6">
        <v>42889.820567129631</v>
      </c>
      <c r="Q285" s="18" t="s">
        <v>1336</v>
      </c>
      <c r="R285" s="19" t="s">
        <v>1438</v>
      </c>
      <c r="S285" s="11"/>
      <c r="T285" s="11"/>
      <c r="U285" s="10" t="str">
        <f>HYPERLINK("https://pbs.twimg.com/profile_images/871063742003511296/xK2IYbrO.jpg","View")</f>
        <v>View</v>
      </c>
    </row>
    <row r="286" spans="1:21" ht="40.799999999999997">
      <c r="A286" s="6">
        <v>43442.531990740739</v>
      </c>
      <c r="B286" s="7" t="str">
        <f>HYPERLINK("https://twitter.com/lavj1958","@lavj1958")</f>
        <v>@lavj1958</v>
      </c>
      <c r="C286" s="8" t="s">
        <v>1998</v>
      </c>
      <c r="D286" s="9" t="s">
        <v>1999</v>
      </c>
      <c r="E286" s="10" t="str">
        <f>HYPERLINK("https://twitter.com/lavj1958/status/1071370321222078464","1071370321222078464")</f>
        <v>1071370321222078464</v>
      </c>
      <c r="F286" s="12" t="s">
        <v>49</v>
      </c>
      <c r="G286" s="11"/>
      <c r="H286" s="11"/>
      <c r="I286" s="13">
        <v>0</v>
      </c>
      <c r="J286" s="13">
        <v>0</v>
      </c>
      <c r="K286" s="14" t="str">
        <f t="shared" ref="K286:K287" si="48">HYPERLINK("http://twitter.com/download/android","Twitter for Android")</f>
        <v>Twitter for Android</v>
      </c>
      <c r="L286" s="13">
        <v>1741</v>
      </c>
      <c r="M286" s="13">
        <v>1938</v>
      </c>
      <c r="N286" s="13">
        <v>13</v>
      </c>
      <c r="O286" s="15"/>
      <c r="P286" s="6">
        <v>41790.806666666671</v>
      </c>
      <c r="Q286" s="18" t="s">
        <v>2001</v>
      </c>
      <c r="R286" s="19" t="s">
        <v>2002</v>
      </c>
      <c r="S286" s="11"/>
      <c r="T286" s="11"/>
      <c r="U286" s="10" t="str">
        <f>HYPERLINK("https://pbs.twimg.com/profile_images/476608580192182272/AQYFkFtM.jpeg","View")</f>
        <v>View</v>
      </c>
    </row>
    <row r="287" spans="1:21" ht="30.6">
      <c r="A287" s="6">
        <v>43442.530821759261</v>
      </c>
      <c r="B287" s="7" t="str">
        <f>HYPERLINK("https://twitter.com/Descansante","@Descansante")</f>
        <v>@Descansante</v>
      </c>
      <c r="C287" s="8" t="s">
        <v>545</v>
      </c>
      <c r="D287" s="9" t="s">
        <v>546</v>
      </c>
      <c r="E287" s="10" t="str">
        <f>HYPERLINK("https://twitter.com/Descansante/status/1071369898344017920","1071369898344017920")</f>
        <v>1071369898344017920</v>
      </c>
      <c r="F287" s="18" t="s">
        <v>547</v>
      </c>
      <c r="G287" s="11"/>
      <c r="H287" s="11"/>
      <c r="I287" s="13">
        <v>0</v>
      </c>
      <c r="J287" s="13">
        <v>1</v>
      </c>
      <c r="K287" s="14" t="str">
        <f t="shared" si="48"/>
        <v>Twitter for Android</v>
      </c>
      <c r="L287" s="13">
        <v>679</v>
      </c>
      <c r="M287" s="13">
        <v>49</v>
      </c>
      <c r="N287" s="13">
        <v>2</v>
      </c>
      <c r="O287" s="15"/>
      <c r="P287" s="6">
        <v>43268.710428240738</v>
      </c>
      <c r="Q287" s="18" t="s">
        <v>548</v>
      </c>
      <c r="R287" s="19" t="s">
        <v>549</v>
      </c>
      <c r="S287" s="12" t="s">
        <v>550</v>
      </c>
      <c r="T287" s="11"/>
      <c r="U287" s="10" t="str">
        <f>HYPERLINK("https://pbs.twimg.com/profile_images/1041663778964885504/66Yt80hz.jpg","View")</f>
        <v>View</v>
      </c>
    </row>
    <row r="288" spans="1:21" ht="40.799999999999997">
      <c r="A288" s="6">
        <v>43442.529456018514</v>
      </c>
      <c r="B288" s="7" t="str">
        <f>HYPERLINK("https://twitter.com/Anonymus_ES","@Anonymus_ES")</f>
        <v>@Anonymus_ES</v>
      </c>
      <c r="C288" s="8" t="s">
        <v>2005</v>
      </c>
      <c r="D288" s="9" t="s">
        <v>2006</v>
      </c>
      <c r="E288" s="10" t="str">
        <f>HYPERLINK("https://twitter.com/Anonymus_ES/status/1071369404842168320","1071369404842168320")</f>
        <v>1071369404842168320</v>
      </c>
      <c r="F288" s="12" t="s">
        <v>2009</v>
      </c>
      <c r="G288" s="11"/>
      <c r="H288" s="11"/>
      <c r="I288" s="13">
        <v>209</v>
      </c>
      <c r="J288" s="13">
        <v>241</v>
      </c>
      <c r="K288" s="14" t="str">
        <f>HYPERLINK("http://twitter.com","Twitter Web Client")</f>
        <v>Twitter Web Client</v>
      </c>
      <c r="L288" s="13">
        <v>29098</v>
      </c>
      <c r="M288" s="13">
        <v>1921</v>
      </c>
      <c r="N288" s="13">
        <v>50</v>
      </c>
      <c r="O288" s="15"/>
      <c r="P288" s="6">
        <v>41337.908738425926</v>
      </c>
      <c r="Q288" s="18" t="s">
        <v>2010</v>
      </c>
      <c r="R288" s="19" t="s">
        <v>2011</v>
      </c>
      <c r="S288" s="11"/>
      <c r="T288" s="11"/>
      <c r="U288" s="10" t="str">
        <f>HYPERLINK("https://pbs.twimg.com/profile_images/912653711629053952/Knwhdl0H.jpg","View")</f>
        <v>View</v>
      </c>
    </row>
    <row r="289" spans="1:21" ht="30.6">
      <c r="A289" s="6">
        <v>43442.528043981481</v>
      </c>
      <c r="B289" s="7" t="str">
        <f>HYPERLINK("https://twitter.com/isabelmrico","@isabelmrico")</f>
        <v>@isabelmrico</v>
      </c>
      <c r="C289" s="8" t="s">
        <v>2012</v>
      </c>
      <c r="D289" s="9" t="s">
        <v>2014</v>
      </c>
      <c r="E289" s="10" t="str">
        <f>HYPERLINK("https://twitter.com/isabelmrico/status/1071368892616986625","1071368892616986625")</f>
        <v>1071368892616986625</v>
      </c>
      <c r="F289" s="12" t="s">
        <v>2017</v>
      </c>
      <c r="G289" s="11"/>
      <c r="H289" s="11"/>
      <c r="I289" s="13">
        <v>0</v>
      </c>
      <c r="J289" s="13">
        <v>0</v>
      </c>
      <c r="K289" s="14" t="str">
        <f t="shared" ref="K289:K290" si="49">HYPERLINK("http://twitter.com/download/android","Twitter for Android")</f>
        <v>Twitter for Android</v>
      </c>
      <c r="L289" s="13">
        <v>64</v>
      </c>
      <c r="M289" s="13">
        <v>75</v>
      </c>
      <c r="N289" s="13">
        <v>2</v>
      </c>
      <c r="O289" s="15"/>
      <c r="P289" s="6">
        <v>41464.013194444444</v>
      </c>
      <c r="Q289" s="18" t="s">
        <v>2020</v>
      </c>
      <c r="R289" s="17"/>
      <c r="S289" s="11"/>
      <c r="T289" s="11"/>
      <c r="U289" s="10" t="str">
        <f>HYPERLINK("https://pbs.twimg.com/profile_images/1039497442088165376/pk5htIHJ.jpg","View")</f>
        <v>View</v>
      </c>
    </row>
    <row r="290" spans="1:21" ht="20.399999999999999">
      <c r="A290" s="6">
        <v>43442.527395833335</v>
      </c>
      <c r="B290" s="7" t="str">
        <f>HYPERLINK("https://twitter.com/18dejulio36","@18dejulio36")</f>
        <v>@18dejulio36</v>
      </c>
      <c r="C290" s="8" t="s">
        <v>2023</v>
      </c>
      <c r="D290" s="9" t="s">
        <v>2024</v>
      </c>
      <c r="E290" s="10" t="str">
        <f>HYPERLINK("https://twitter.com/18dejulio36/status/1071368654690881536","1071368654690881536")</f>
        <v>1071368654690881536</v>
      </c>
      <c r="F290" s="12" t="s">
        <v>2026</v>
      </c>
      <c r="G290" s="11"/>
      <c r="H290" s="11"/>
      <c r="I290" s="13">
        <v>5</v>
      </c>
      <c r="J290" s="13">
        <v>1</v>
      </c>
      <c r="K290" s="14" t="str">
        <f t="shared" si="49"/>
        <v>Twitter for Android</v>
      </c>
      <c r="L290" s="13">
        <v>1336</v>
      </c>
      <c r="M290" s="13">
        <v>644</v>
      </c>
      <c r="N290" s="13">
        <v>83</v>
      </c>
      <c r="O290" s="15"/>
      <c r="P290" s="6">
        <v>41509.510497685187</v>
      </c>
      <c r="Q290" s="18" t="s">
        <v>2027</v>
      </c>
      <c r="R290" s="19" t="s">
        <v>2028</v>
      </c>
      <c r="S290" s="11"/>
      <c r="T290" s="11"/>
      <c r="U290" s="10" t="str">
        <f>HYPERLINK("https://pbs.twimg.com/profile_images/647371484000845824/XCHRL0HG.jpg","View")</f>
        <v>View</v>
      </c>
    </row>
    <row r="291" spans="1:21" ht="20.399999999999999">
      <c r="A291" s="6">
        <v>43442.526863425926</v>
      </c>
      <c r="B291" s="7" t="str">
        <f>HYPERLINK("https://twitter.com/CiroGJimnez","@CiroGJimnez")</f>
        <v>@CiroGJimnez</v>
      </c>
      <c r="C291" s="8" t="s">
        <v>2031</v>
      </c>
      <c r="D291" s="9" t="s">
        <v>1357</v>
      </c>
      <c r="E291" s="10" t="str">
        <f>HYPERLINK("https://twitter.com/CiroGJimnez/status/1071368462809866240","1071368462809866240")</f>
        <v>1071368462809866240</v>
      </c>
      <c r="F291" s="12" t="s">
        <v>49</v>
      </c>
      <c r="G291" s="11"/>
      <c r="H291" s="11"/>
      <c r="I291" s="13">
        <v>0</v>
      </c>
      <c r="J291" s="13">
        <v>0</v>
      </c>
      <c r="K291" s="14" t="str">
        <f>HYPERLINK("http://www.facebook.com/twitter","Facebook")</f>
        <v>Facebook</v>
      </c>
      <c r="L291" s="13">
        <v>189</v>
      </c>
      <c r="M291" s="13">
        <v>667</v>
      </c>
      <c r="N291" s="13">
        <v>1</v>
      </c>
      <c r="O291" s="15"/>
      <c r="P291" s="6">
        <v>41390.81186342593</v>
      </c>
      <c r="Q291" s="18" t="s">
        <v>2036</v>
      </c>
      <c r="R291" s="19" t="s">
        <v>2037</v>
      </c>
      <c r="S291" s="11"/>
      <c r="T291" s="11"/>
      <c r="U291" s="10" t="str">
        <f>HYPERLINK("https://pbs.twimg.com/profile_images/3611512225/3a8b892a4cdf013eb4e24e654f956740.jpeg","View")</f>
        <v>View</v>
      </c>
    </row>
    <row r="292" spans="1:21" ht="102">
      <c r="A292" s="6">
        <v>43442.52679398148</v>
      </c>
      <c r="B292" s="7" t="str">
        <f>HYPERLINK("https://twitter.com/usingneurons","@usingneurons")</f>
        <v>@usingneurons</v>
      </c>
      <c r="C292" s="8" t="s">
        <v>465</v>
      </c>
      <c r="D292" s="9" t="s">
        <v>551</v>
      </c>
      <c r="E292" s="10" t="str">
        <f>HYPERLINK("https://twitter.com/usingneurons/status/1071368440596889600","1071368440596889600")</f>
        <v>1071368440596889600</v>
      </c>
      <c r="F292" s="18" t="s">
        <v>552</v>
      </c>
      <c r="G292" s="11"/>
      <c r="H292" s="11"/>
      <c r="I292" s="13">
        <v>0</v>
      </c>
      <c r="J292" s="13">
        <v>0</v>
      </c>
      <c r="K292" s="14" t="str">
        <f t="shared" ref="K292:K294" si="50">HYPERLINK("http://twitter.com","Twitter Web Client")</f>
        <v>Twitter Web Client</v>
      </c>
      <c r="L292" s="13">
        <v>927</v>
      </c>
      <c r="M292" s="13">
        <v>901</v>
      </c>
      <c r="N292" s="13">
        <v>21</v>
      </c>
      <c r="O292" s="15"/>
      <c r="P292" s="6">
        <v>41781.782407407409</v>
      </c>
      <c r="Q292" s="11"/>
      <c r="R292" s="19" t="s">
        <v>470</v>
      </c>
      <c r="S292" s="11"/>
      <c r="T292" s="11"/>
      <c r="U292" s="10" t="str">
        <f>HYPERLINK("https://pbs.twimg.com/profile_images/497787841733066752/jnJEf2Rm.jpeg","View")</f>
        <v>View</v>
      </c>
    </row>
    <row r="293" spans="1:21" ht="40.799999999999997">
      <c r="A293" s="6">
        <v>43442.526585648149</v>
      </c>
      <c r="B293" s="7" t="str">
        <f t="shared" ref="B293:B294" si="51">HYPERLINK("https://twitter.com/enriquedediegov","@enriquedediegov")</f>
        <v>@enriquedediegov</v>
      </c>
      <c r="C293" s="8" t="s">
        <v>234</v>
      </c>
      <c r="D293" s="9" t="s">
        <v>235</v>
      </c>
      <c r="E293" s="10" t="str">
        <f>HYPERLINK("https://twitter.com/enriquedediegov/status/1071368363253923841","1071368363253923841")</f>
        <v>1071368363253923841</v>
      </c>
      <c r="F293" s="12" t="s">
        <v>2042</v>
      </c>
      <c r="G293" s="11"/>
      <c r="H293" s="11"/>
      <c r="I293" s="13">
        <v>2</v>
      </c>
      <c r="J293" s="13">
        <v>4</v>
      </c>
      <c r="K293" s="14" t="str">
        <f t="shared" si="50"/>
        <v>Twitter Web Client</v>
      </c>
      <c r="L293" s="13">
        <v>7792</v>
      </c>
      <c r="M293" s="13">
        <v>6053</v>
      </c>
      <c r="N293" s="13">
        <v>179</v>
      </c>
      <c r="O293" s="15"/>
      <c r="P293" s="6">
        <v>41293.717129629629</v>
      </c>
      <c r="Q293" s="18" t="s">
        <v>42</v>
      </c>
      <c r="R293" s="19" t="s">
        <v>239</v>
      </c>
      <c r="S293" s="12" t="s">
        <v>240</v>
      </c>
      <c r="T293" s="11"/>
      <c r="U293" s="10" t="str">
        <f t="shared" ref="U293:U294" si="52">HYPERLINK("https://pbs.twimg.com/profile_images/3129623790/4ae197d01442e05dee4622297c3b9642.jpeg","View")</f>
        <v>View</v>
      </c>
    </row>
    <row r="294" spans="1:21" ht="40.799999999999997">
      <c r="A294" s="6">
        <v>43442.525787037041</v>
      </c>
      <c r="B294" s="7" t="str">
        <f t="shared" si="51"/>
        <v>@enriquedediegov</v>
      </c>
      <c r="C294" s="8" t="s">
        <v>234</v>
      </c>
      <c r="D294" s="9" t="s">
        <v>235</v>
      </c>
      <c r="E294" s="10" t="str">
        <f>HYPERLINK("https://twitter.com/enriquedediegov/status/1071368071787499521","1071368071787499521")</f>
        <v>1071368071787499521</v>
      </c>
      <c r="F294" s="12" t="s">
        <v>2046</v>
      </c>
      <c r="G294" s="11"/>
      <c r="H294" s="11"/>
      <c r="I294" s="13">
        <v>5</v>
      </c>
      <c r="J294" s="13">
        <v>7</v>
      </c>
      <c r="K294" s="14" t="str">
        <f t="shared" si="50"/>
        <v>Twitter Web Client</v>
      </c>
      <c r="L294" s="13">
        <v>7792</v>
      </c>
      <c r="M294" s="13">
        <v>6053</v>
      </c>
      <c r="N294" s="13">
        <v>179</v>
      </c>
      <c r="O294" s="15"/>
      <c r="P294" s="6">
        <v>41293.717129629629</v>
      </c>
      <c r="Q294" s="18" t="s">
        <v>42</v>
      </c>
      <c r="R294" s="19" t="s">
        <v>239</v>
      </c>
      <c r="S294" s="12" t="s">
        <v>240</v>
      </c>
      <c r="T294" s="11"/>
      <c r="U294" s="10" t="str">
        <f t="shared" si="52"/>
        <v>View</v>
      </c>
    </row>
    <row r="295" spans="1:21" ht="20.399999999999999">
      <c r="A295" s="6">
        <v>43442.525173611109</v>
      </c>
      <c r="B295" s="7" t="str">
        <f>HYPERLINK("https://twitter.com/JosueMagallanes","@JosueMagallanes")</f>
        <v>@JosueMagallanes</v>
      </c>
      <c r="C295" s="8" t="s">
        <v>2051</v>
      </c>
      <c r="D295" s="9" t="s">
        <v>2052</v>
      </c>
      <c r="E295" s="10" t="str">
        <f>HYPERLINK("https://twitter.com/JosueMagallanes/status/1071367850999336961","1071367850999336961")</f>
        <v>1071367850999336961</v>
      </c>
      <c r="F295" s="12" t="s">
        <v>2054</v>
      </c>
      <c r="G295" s="11"/>
      <c r="H295" s="11"/>
      <c r="I295" s="13">
        <v>0</v>
      </c>
      <c r="J295" s="13">
        <v>0</v>
      </c>
      <c r="K295" s="14" t="str">
        <f>HYPERLINK("https://mobile.twitter.com","Twitter Lite")</f>
        <v>Twitter Lite</v>
      </c>
      <c r="L295" s="13">
        <v>152</v>
      </c>
      <c r="M295" s="13">
        <v>298</v>
      </c>
      <c r="N295" s="13">
        <v>1</v>
      </c>
      <c r="O295" s="15"/>
      <c r="P295" s="6">
        <v>40692.660821759258</v>
      </c>
      <c r="Q295" s="18" t="s">
        <v>973</v>
      </c>
      <c r="R295" s="19" t="s">
        <v>2055</v>
      </c>
      <c r="S295" s="11"/>
      <c r="T295" s="11"/>
      <c r="U295" s="10" t="str">
        <f>HYPERLINK("https://pbs.twimg.com/profile_images/1067930147590995968/S2W3xVIi.jpg","View")</f>
        <v>View</v>
      </c>
    </row>
    <row r="296" spans="1:21" ht="40.799999999999997">
      <c r="A296" s="6">
        <v>43442.52516203704</v>
      </c>
      <c r="B296" s="7" t="str">
        <f>HYPERLINK("https://twitter.com/capitan_ja","@capitan_ja")</f>
        <v>@capitan_ja</v>
      </c>
      <c r="C296" s="8" t="s">
        <v>2057</v>
      </c>
      <c r="D296" s="9" t="s">
        <v>2058</v>
      </c>
      <c r="E296" s="10" t="str">
        <f>HYPERLINK("https://twitter.com/capitan_ja/status/1071367845811023874","1071367845811023874")</f>
        <v>1071367845811023874</v>
      </c>
      <c r="F296" s="12" t="s">
        <v>166</v>
      </c>
      <c r="G296" s="11"/>
      <c r="H296" s="11"/>
      <c r="I296" s="13">
        <v>0</v>
      </c>
      <c r="J296" s="13">
        <v>0</v>
      </c>
      <c r="K296" s="14" t="str">
        <f>HYPERLINK("http://twitter.com","Twitter Web Client")</f>
        <v>Twitter Web Client</v>
      </c>
      <c r="L296" s="13">
        <v>1070</v>
      </c>
      <c r="M296" s="13">
        <v>1030</v>
      </c>
      <c r="N296" s="13">
        <v>17</v>
      </c>
      <c r="O296" s="15"/>
      <c r="P296" s="6">
        <v>41107.822650462964</v>
      </c>
      <c r="Q296" s="11"/>
      <c r="R296" s="19" t="s">
        <v>2061</v>
      </c>
      <c r="S296" s="11"/>
      <c r="T296" s="11"/>
      <c r="U296" s="10" t="str">
        <f>HYPERLINK("https://pbs.twimg.com/profile_images/764222146033946624/zeDTzS9-.jpg","View")</f>
        <v>View</v>
      </c>
    </row>
    <row r="297" spans="1:21" ht="61.2">
      <c r="A297" s="6">
        <v>43442.523206018523</v>
      </c>
      <c r="B297" s="7" t="str">
        <f>HYPERLINK("https://twitter.com/construyexitos","@construyexitos")</f>
        <v>@construyexitos</v>
      </c>
      <c r="C297" s="8" t="s">
        <v>2063</v>
      </c>
      <c r="D297" s="9" t="s">
        <v>2064</v>
      </c>
      <c r="E297" s="10" t="str">
        <f>HYPERLINK("https://twitter.com/construyexitos/status/1071367138512961536","1071367138512961536")</f>
        <v>1071367138512961536</v>
      </c>
      <c r="F297" s="18" t="s">
        <v>2065</v>
      </c>
      <c r="G297" s="11"/>
      <c r="H297" s="11"/>
      <c r="I297" s="13">
        <v>3</v>
      </c>
      <c r="J297" s="13">
        <v>0</v>
      </c>
      <c r="K297" s="14" t="str">
        <f>HYPERLINK("http://twitter.com/download/android","Twitter for Android")</f>
        <v>Twitter for Android</v>
      </c>
      <c r="L297" s="13">
        <v>4456</v>
      </c>
      <c r="M297" s="13">
        <v>4545</v>
      </c>
      <c r="N297" s="13">
        <v>16</v>
      </c>
      <c r="O297" s="15"/>
      <c r="P297" s="6">
        <v>40549.987187500003</v>
      </c>
      <c r="Q297" s="11"/>
      <c r="R297" s="19" t="s">
        <v>2068</v>
      </c>
      <c r="S297" s="11"/>
      <c r="T297" s="11"/>
      <c r="U297" s="10" t="str">
        <f>HYPERLINK("https://pbs.twimg.com/profile_images/2892203399/6a265595e6aeedf9586886d1b1191708.jpeg","View")</f>
        <v>View</v>
      </c>
    </row>
    <row r="298" spans="1:21" ht="51">
      <c r="A298" s="6">
        <v>43442.522106481483</v>
      </c>
      <c r="B298" s="7" t="str">
        <f>HYPERLINK("https://twitter.com/carlosmundy","@carlosmundy")</f>
        <v>@carlosmundy</v>
      </c>
      <c r="C298" s="8" t="s">
        <v>2069</v>
      </c>
      <c r="D298" s="9" t="s">
        <v>2070</v>
      </c>
      <c r="E298" s="10" t="str">
        <f>HYPERLINK("https://twitter.com/carlosmundy/status/1071366739030630402","1071366739030630402")</f>
        <v>1071366739030630402</v>
      </c>
      <c r="F298" s="12" t="s">
        <v>2074</v>
      </c>
      <c r="G298" s="11"/>
      <c r="H298" s="11"/>
      <c r="I298" s="13">
        <v>0</v>
      </c>
      <c r="J298" s="13">
        <v>0</v>
      </c>
      <c r="K298" s="14" t="str">
        <f>HYPERLINK("http://www.facebook.com/twitter","Facebook")</f>
        <v>Facebook</v>
      </c>
      <c r="L298" s="13">
        <v>556</v>
      </c>
      <c r="M298" s="13">
        <v>945</v>
      </c>
      <c r="N298" s="13">
        <v>10</v>
      </c>
      <c r="O298" s="15"/>
      <c r="P298" s="6">
        <v>39989.459004629629</v>
      </c>
      <c r="Q298" s="18" t="s">
        <v>2075</v>
      </c>
      <c r="R298" s="19" t="s">
        <v>2076</v>
      </c>
      <c r="S298" s="12" t="s">
        <v>2077</v>
      </c>
      <c r="T298" s="11"/>
      <c r="U298" s="10" t="str">
        <f>HYPERLINK("https://pbs.twimg.com/profile_images/459325057932591105/vMcmnAN_.jpeg","View")</f>
        <v>View</v>
      </c>
    </row>
    <row r="299" spans="1:21" ht="20.399999999999999">
      <c r="A299" s="6">
        <v>43442.521701388891</v>
      </c>
      <c r="B299" s="7" t="str">
        <f>HYPERLINK("https://twitter.com/robertrefort3","@robertrefort3")</f>
        <v>@robertrefort3</v>
      </c>
      <c r="C299" s="8" t="s">
        <v>2079</v>
      </c>
      <c r="D299" s="9" t="s">
        <v>2080</v>
      </c>
      <c r="E299" s="10" t="str">
        <f>HYPERLINK("https://twitter.com/robertrefort3/status/1071366591701430272","1071366591701430272")</f>
        <v>1071366591701430272</v>
      </c>
      <c r="F299" s="11"/>
      <c r="G299" s="11"/>
      <c r="H299" s="11"/>
      <c r="I299" s="13">
        <v>2</v>
      </c>
      <c r="J299" s="13">
        <v>3</v>
      </c>
      <c r="K299" s="14" t="str">
        <f t="shared" ref="K299:K302" si="53">HYPERLINK("http://twitter.com/download/android","Twitter for Android")</f>
        <v>Twitter for Android</v>
      </c>
      <c r="L299" s="13">
        <v>61</v>
      </c>
      <c r="M299" s="13">
        <v>135</v>
      </c>
      <c r="N299" s="13">
        <v>0</v>
      </c>
      <c r="O299" s="15"/>
      <c r="P299" s="6">
        <v>42765.542245370365</v>
      </c>
      <c r="Q299" s="11"/>
      <c r="R299" s="17"/>
      <c r="S299" s="11"/>
      <c r="T299" s="11"/>
      <c r="U299" s="16" t="s">
        <v>191</v>
      </c>
    </row>
    <row r="300" spans="1:21" ht="20.399999999999999">
      <c r="A300" s="6">
        <v>43442.52134259259</v>
      </c>
      <c r="B300" s="7" t="str">
        <f>HYPERLINK("https://twitter.com/LuisAlb87688384","@LuisAlb87688384")</f>
        <v>@LuisAlb87688384</v>
      </c>
      <c r="C300" s="8" t="s">
        <v>2084</v>
      </c>
      <c r="D300" s="9" t="s">
        <v>285</v>
      </c>
      <c r="E300" s="10" t="str">
        <f>HYPERLINK("https://twitter.com/LuisAlb87688384/status/1071366462810542080","1071366462810542080")</f>
        <v>1071366462810542080</v>
      </c>
      <c r="F300" s="12" t="s">
        <v>290</v>
      </c>
      <c r="G300" s="11"/>
      <c r="H300" s="11"/>
      <c r="I300" s="13">
        <v>0</v>
      </c>
      <c r="J300" s="13">
        <v>0</v>
      </c>
      <c r="K300" s="14" t="str">
        <f t="shared" si="53"/>
        <v>Twitter for Android</v>
      </c>
      <c r="L300" s="13">
        <v>55</v>
      </c>
      <c r="M300" s="13">
        <v>67</v>
      </c>
      <c r="N300" s="13">
        <v>0</v>
      </c>
      <c r="O300" s="15"/>
      <c r="P300" s="6">
        <v>42641.939305555556</v>
      </c>
      <c r="Q300" s="11"/>
      <c r="R300" s="19" t="s">
        <v>2085</v>
      </c>
      <c r="S300" s="11"/>
      <c r="T300" s="11"/>
      <c r="U300" s="10" t="str">
        <f>HYPERLINK("https://pbs.twimg.com/profile_images/934800927193780225/pAs7j9sw.jpg","View")</f>
        <v>View</v>
      </c>
    </row>
    <row r="301" spans="1:21" ht="20.399999999999999">
      <c r="A301" s="6">
        <v>43442.52070601852</v>
      </c>
      <c r="B301" s="7" t="str">
        <f>HYPERLINK("https://twitter.com/angsimpa","@angsimpa")</f>
        <v>@angsimpa</v>
      </c>
      <c r="C301" s="8" t="s">
        <v>2090</v>
      </c>
      <c r="D301" s="9" t="s">
        <v>2091</v>
      </c>
      <c r="E301" s="10" t="str">
        <f>HYPERLINK("https://twitter.com/angsimpa/status/1071366231901564930","1071366231901564930")</f>
        <v>1071366231901564930</v>
      </c>
      <c r="F301" s="12" t="s">
        <v>49</v>
      </c>
      <c r="G301" s="11"/>
      <c r="H301" s="11"/>
      <c r="I301" s="13">
        <v>0</v>
      </c>
      <c r="J301" s="13">
        <v>0</v>
      </c>
      <c r="K301" s="14" t="str">
        <f t="shared" si="53"/>
        <v>Twitter for Android</v>
      </c>
      <c r="L301" s="13">
        <v>4288</v>
      </c>
      <c r="M301" s="13">
        <v>3979</v>
      </c>
      <c r="N301" s="13">
        <v>170</v>
      </c>
      <c r="O301" s="15"/>
      <c r="P301" s="6">
        <v>40551.036354166667</v>
      </c>
      <c r="Q301" s="11"/>
      <c r="R301" s="19" t="s">
        <v>2095</v>
      </c>
      <c r="S301" s="11"/>
      <c r="T301" s="11"/>
      <c r="U301" s="10" t="str">
        <f>HYPERLINK("https://pbs.twimg.com/profile_images/1021373803350450177/YdPasB9Q.jpg","View")</f>
        <v>View</v>
      </c>
    </row>
    <row r="302" spans="1:21" ht="40.799999999999997">
      <c r="A302" s="6">
        <v>43442.518877314811</v>
      </c>
      <c r="B302" s="7" t="str">
        <f>HYPERLINK("https://twitter.com/Patriota69Por","@Patriota69Por")</f>
        <v>@Patriota69Por</v>
      </c>
      <c r="C302" s="8" t="s">
        <v>555</v>
      </c>
      <c r="D302" s="9" t="s">
        <v>556</v>
      </c>
      <c r="E302" s="10" t="str">
        <f>HYPERLINK("https://twitter.com/Patriota69Por/status/1071365569776107521","1071365569776107521")</f>
        <v>1071365569776107521</v>
      </c>
      <c r="F302" s="11"/>
      <c r="G302" s="11"/>
      <c r="H302" s="11"/>
      <c r="I302" s="13">
        <v>0</v>
      </c>
      <c r="J302" s="13">
        <v>1</v>
      </c>
      <c r="K302" s="14" t="str">
        <f t="shared" si="53"/>
        <v>Twitter for Android</v>
      </c>
      <c r="L302" s="13">
        <v>86</v>
      </c>
      <c r="M302" s="13">
        <v>300</v>
      </c>
      <c r="N302" s="13">
        <v>0</v>
      </c>
      <c r="O302" s="15"/>
      <c r="P302" s="6">
        <v>43318.567627314813</v>
      </c>
      <c r="Q302" s="11"/>
      <c r="R302" s="19" t="s">
        <v>560</v>
      </c>
      <c r="S302" s="11"/>
      <c r="T302" s="11"/>
      <c r="U302" s="10" t="str">
        <f>HYPERLINK("https://pbs.twimg.com/profile_images/1026432457615257606/enqBaogC.png","View")</f>
        <v>View</v>
      </c>
    </row>
    <row r="303" spans="1:21" ht="40.799999999999997">
      <c r="A303" s="6">
        <v>43442.518842592588</v>
      </c>
      <c r="B303" s="7" t="str">
        <f>HYPERLINK("https://twitter.com/elmundobaleares","@elmundobaleares")</f>
        <v>@elmundobaleares</v>
      </c>
      <c r="C303" s="8" t="s">
        <v>2105</v>
      </c>
      <c r="D303" s="21" t="s">
        <v>2106</v>
      </c>
      <c r="E303" s="10" t="str">
        <f>HYPERLINK("https://twitter.com/elmundobaleares/status/1071365556211777537","1071365556211777537")</f>
        <v>1071365556211777537</v>
      </c>
      <c r="F303" s="12" t="s">
        <v>166</v>
      </c>
      <c r="G303" s="11"/>
      <c r="H303" s="11"/>
      <c r="I303" s="13">
        <v>1</v>
      </c>
      <c r="J303" s="13">
        <v>2</v>
      </c>
      <c r="K303" s="14" t="str">
        <f>HYPERLINK("http://twitter.com","Twitter Web Client")</f>
        <v>Twitter Web Client</v>
      </c>
      <c r="L303" s="13">
        <v>15775</v>
      </c>
      <c r="M303" s="13">
        <v>80</v>
      </c>
      <c r="N303" s="13">
        <v>323</v>
      </c>
      <c r="O303" s="15"/>
      <c r="P303" s="6">
        <v>40203.563831018517</v>
      </c>
      <c r="Q303" s="18" t="s">
        <v>2110</v>
      </c>
      <c r="R303" s="19" t="s">
        <v>2112</v>
      </c>
      <c r="S303" s="12" t="s">
        <v>2113</v>
      </c>
      <c r="T303" s="11"/>
      <c r="U303" s="10" t="str">
        <f>HYPERLINK("https://pbs.twimg.com/profile_images/753924201006891008/hy0o7YAj.jpg","View")</f>
        <v>View</v>
      </c>
    </row>
    <row r="304" spans="1:21" ht="30.6">
      <c r="A304" s="6">
        <v>43442.517858796295</v>
      </c>
      <c r="B304" s="7" t="str">
        <f>HYPERLINK("https://twitter.com/PeterofRooms","@PeterofRooms")</f>
        <v>@PeterofRooms</v>
      </c>
      <c r="C304" s="8" t="s">
        <v>562</v>
      </c>
      <c r="D304" s="9" t="s">
        <v>563</v>
      </c>
      <c r="E304" s="10" t="str">
        <f>HYPERLINK("https://twitter.com/PeterofRooms/status/1071365201809821696","1071365201809821696")</f>
        <v>1071365201809821696</v>
      </c>
      <c r="F304" s="12" t="s">
        <v>566</v>
      </c>
      <c r="G304" s="11"/>
      <c r="H304" s="11"/>
      <c r="I304" s="13">
        <v>0</v>
      </c>
      <c r="J304" s="13">
        <v>0</v>
      </c>
      <c r="K304" s="14" t="str">
        <f>HYPERLINK("http://twitter.com/download/iphone","Twitter for iPhone")</f>
        <v>Twitter for iPhone</v>
      </c>
      <c r="L304" s="13">
        <v>444</v>
      </c>
      <c r="M304" s="13">
        <v>655</v>
      </c>
      <c r="N304" s="13">
        <v>12</v>
      </c>
      <c r="O304" s="15"/>
      <c r="P304" s="6">
        <v>40314.889328703706</v>
      </c>
      <c r="Q304" s="18" t="s">
        <v>307</v>
      </c>
      <c r="R304" s="19" t="s">
        <v>568</v>
      </c>
      <c r="S304" s="11"/>
      <c r="T304" s="11"/>
      <c r="U304" s="10" t="str">
        <f>HYPERLINK("https://pbs.twimg.com/profile_images/490911909412368385/Yr457PH5.jpeg","View")</f>
        <v>View</v>
      </c>
    </row>
    <row r="305" spans="1:21" ht="30.6">
      <c r="A305" s="6">
        <v>43442.517013888893</v>
      </c>
      <c r="B305" s="7" t="str">
        <f>HYPERLINK("https://twitter.com/ANTICOMUNIST714","@ANTICOMUNIST714")</f>
        <v>@ANTICOMUNIST714</v>
      </c>
      <c r="C305" s="8" t="s">
        <v>2120</v>
      </c>
      <c r="D305" s="9" t="s">
        <v>1152</v>
      </c>
      <c r="E305" s="10" t="str">
        <f>HYPERLINK("https://twitter.com/ANTICOMUNIST714/status/1071364894468005889","1071364894468005889")</f>
        <v>1071364894468005889</v>
      </c>
      <c r="F305" s="12" t="s">
        <v>2123</v>
      </c>
      <c r="G305" s="11"/>
      <c r="H305" s="11"/>
      <c r="I305" s="13">
        <v>2</v>
      </c>
      <c r="J305" s="13">
        <v>1</v>
      </c>
      <c r="K305" s="14" t="str">
        <f t="shared" ref="K305:K306" si="54">HYPERLINK("http://twitter.com/download/android","Twitter for Android")</f>
        <v>Twitter for Android</v>
      </c>
      <c r="L305" s="13">
        <v>4988</v>
      </c>
      <c r="M305" s="13">
        <v>5151</v>
      </c>
      <c r="N305" s="13">
        <v>20</v>
      </c>
      <c r="O305" s="15"/>
      <c r="P305" s="6">
        <v>40148.060555555552</v>
      </c>
      <c r="Q305" s="18" t="s">
        <v>2125</v>
      </c>
      <c r="R305" s="19" t="s">
        <v>2126</v>
      </c>
      <c r="S305" s="11"/>
      <c r="T305" s="11"/>
      <c r="U305" s="10" t="str">
        <f>HYPERLINK("https://pbs.twimg.com/profile_images/791302452171644928/vOGXckIA.jpg","View")</f>
        <v>View</v>
      </c>
    </row>
    <row r="306" spans="1:21" ht="40.799999999999997">
      <c r="A306" s="6">
        <v>43442.516817129625</v>
      </c>
      <c r="B306" s="7" t="str">
        <f>HYPERLINK("https://twitter.com/EstrellaMonge1","@EstrellaMonge1")</f>
        <v>@EstrellaMonge1</v>
      </c>
      <c r="C306" s="8" t="s">
        <v>2128</v>
      </c>
      <c r="D306" s="9" t="s">
        <v>2129</v>
      </c>
      <c r="E306" s="10" t="str">
        <f>HYPERLINK("https://twitter.com/EstrellaMonge1/status/1071364821814337536","1071364821814337536")</f>
        <v>1071364821814337536</v>
      </c>
      <c r="F306" s="12" t="s">
        <v>2130</v>
      </c>
      <c r="G306" s="11"/>
      <c r="H306" s="11"/>
      <c r="I306" s="13">
        <v>0</v>
      </c>
      <c r="J306" s="13">
        <v>0</v>
      </c>
      <c r="K306" s="14" t="str">
        <f t="shared" si="54"/>
        <v>Twitter for Android</v>
      </c>
      <c r="L306" s="13">
        <v>1904</v>
      </c>
      <c r="M306" s="13">
        <v>4998</v>
      </c>
      <c r="N306" s="13">
        <v>111</v>
      </c>
      <c r="O306" s="15"/>
      <c r="P306" s="6">
        <v>40911.708993055552</v>
      </c>
      <c r="Q306" s="18" t="s">
        <v>42</v>
      </c>
      <c r="R306" s="19" t="s">
        <v>2134</v>
      </c>
      <c r="S306" s="11"/>
      <c r="T306" s="11"/>
      <c r="U306" s="10" t="str">
        <f>HYPERLINK("https://pbs.twimg.com/profile_images/1062093513159049216/mAkXXRvX.jpg","View")</f>
        <v>View</v>
      </c>
    </row>
    <row r="307" spans="1:21" ht="51">
      <c r="A307" s="6">
        <v>43442.516608796301</v>
      </c>
      <c r="B307" s="7" t="str">
        <f>HYPERLINK("https://twitter.com/torresburriel","@torresburriel")</f>
        <v>@torresburriel</v>
      </c>
      <c r="C307" s="8" t="s">
        <v>570</v>
      </c>
      <c r="D307" s="9" t="s">
        <v>571</v>
      </c>
      <c r="E307" s="10" t="str">
        <f>HYPERLINK("https://twitter.com/torresburriel/status/1071364748338450432","1071364748338450432")</f>
        <v>1071364748338450432</v>
      </c>
      <c r="F307" s="12" t="s">
        <v>572</v>
      </c>
      <c r="G307" s="11"/>
      <c r="H307" s="11"/>
      <c r="I307" s="13">
        <v>0</v>
      </c>
      <c r="J307" s="13">
        <v>0</v>
      </c>
      <c r="K307" s="14" t="str">
        <f>HYPERLINK("http://twitter.com/#!/download/ipad","Twitter for iPad")</f>
        <v>Twitter for iPad</v>
      </c>
      <c r="L307" s="13">
        <v>9454</v>
      </c>
      <c r="M307" s="13">
        <v>862</v>
      </c>
      <c r="N307" s="13">
        <v>1121</v>
      </c>
      <c r="O307" s="15"/>
      <c r="P307" s="6">
        <v>39167.343344907407</v>
      </c>
      <c r="Q307" s="18" t="s">
        <v>573</v>
      </c>
      <c r="R307" s="19" t="s">
        <v>574</v>
      </c>
      <c r="S307" s="12" t="s">
        <v>575</v>
      </c>
      <c r="T307" s="11"/>
      <c r="U307" s="10" t="str">
        <f>HYPERLINK("https://pbs.twimg.com/profile_images/821780527820767232/tSDzc8Y1.jpg","View")</f>
        <v>View</v>
      </c>
    </row>
    <row r="308" spans="1:21" ht="51">
      <c r="A308" s="6">
        <v>43442.516111111108</v>
      </c>
      <c r="B308" s="7" t="str">
        <f>HYPERLINK("https://twitter.com/seby_perez","@seby_perez")</f>
        <v>@seby_perez</v>
      </c>
      <c r="C308" s="8" t="s">
        <v>120</v>
      </c>
      <c r="D308" s="9" t="s">
        <v>2141</v>
      </c>
      <c r="E308" s="10" t="str">
        <f>HYPERLINK("https://twitter.com/seby_perez/status/1071364565483573248","1071364565483573248")</f>
        <v>1071364565483573248</v>
      </c>
      <c r="F308" s="18" t="s">
        <v>2144</v>
      </c>
      <c r="G308" s="11"/>
      <c r="H308" s="11"/>
      <c r="I308" s="13">
        <v>0</v>
      </c>
      <c r="J308" s="13">
        <v>0</v>
      </c>
      <c r="K308" s="14" t="str">
        <f>HYPERLINK("https://mobile.twitter.com","Twitter Lite")</f>
        <v>Twitter Lite</v>
      </c>
      <c r="L308" s="13">
        <v>1627</v>
      </c>
      <c r="M308" s="13">
        <v>1623</v>
      </c>
      <c r="N308" s="13">
        <v>5</v>
      </c>
      <c r="O308" s="15"/>
      <c r="P308" s="6">
        <v>41914.773379629631</v>
      </c>
      <c r="Q308" s="18" t="s">
        <v>42</v>
      </c>
      <c r="R308" s="19" t="s">
        <v>126</v>
      </c>
      <c r="S308" s="11"/>
      <c r="T308" s="11"/>
      <c r="U308" s="10" t="str">
        <f>HYPERLINK("https://pbs.twimg.com/profile_images/1067411848234967040/zd7J5BWO.jpg","View")</f>
        <v>View</v>
      </c>
    </row>
    <row r="309" spans="1:21" ht="40.799999999999997">
      <c r="A309" s="6">
        <v>43442.515706018516</v>
      </c>
      <c r="B309" s="7" t="str">
        <f>HYPERLINK("https://twitter.com/olduvay22","@olduvay22")</f>
        <v>@olduvay22</v>
      </c>
      <c r="C309" s="8" t="s">
        <v>576</v>
      </c>
      <c r="D309" s="9" t="s">
        <v>578</v>
      </c>
      <c r="E309" s="10" t="str">
        <f>HYPERLINK("https://twitter.com/olduvay22/status/1071364419223998464","1071364419223998464")</f>
        <v>1071364419223998464</v>
      </c>
      <c r="F309" s="12" t="s">
        <v>580</v>
      </c>
      <c r="G309" s="11"/>
      <c r="H309" s="11"/>
      <c r="I309" s="13">
        <v>2</v>
      </c>
      <c r="J309" s="13">
        <v>3</v>
      </c>
      <c r="K309" s="14" t="str">
        <f t="shared" ref="K309:K311" si="55">HYPERLINK("http://twitter.com/download/android","Twitter for Android")</f>
        <v>Twitter for Android</v>
      </c>
      <c r="L309" s="13">
        <v>625</v>
      </c>
      <c r="M309" s="13">
        <v>707</v>
      </c>
      <c r="N309" s="13">
        <v>11</v>
      </c>
      <c r="O309" s="15"/>
      <c r="P309" s="6">
        <v>41967.429722222223</v>
      </c>
      <c r="Q309" s="11"/>
      <c r="R309" s="19" t="s">
        <v>581</v>
      </c>
      <c r="S309" s="12" t="s">
        <v>582</v>
      </c>
      <c r="T309" s="11"/>
      <c r="U309" s="10" t="str">
        <f>HYPERLINK("https://pbs.twimg.com/profile_images/1065277477935812608/QsufvDm1.jpg","View")</f>
        <v>View</v>
      </c>
    </row>
    <row r="310" spans="1:21" ht="13.2">
      <c r="A310" s="6">
        <v>43442.514722222222</v>
      </c>
      <c r="B310" s="7" t="str">
        <f>HYPERLINK("https://twitter.com/angsimpa","@angsimpa")</f>
        <v>@angsimpa</v>
      </c>
      <c r="C310" s="8" t="s">
        <v>2090</v>
      </c>
      <c r="D310" s="9" t="s">
        <v>612</v>
      </c>
      <c r="E310" s="10" t="str">
        <f>HYPERLINK("https://twitter.com/angsimpa/status/1071364064687853568","1071364064687853568")</f>
        <v>1071364064687853568</v>
      </c>
      <c r="F310" s="12" t="s">
        <v>49</v>
      </c>
      <c r="G310" s="11"/>
      <c r="H310" s="11"/>
      <c r="I310" s="13">
        <v>0</v>
      </c>
      <c r="J310" s="13">
        <v>0</v>
      </c>
      <c r="K310" s="14" t="str">
        <f t="shared" si="55"/>
        <v>Twitter for Android</v>
      </c>
      <c r="L310" s="13">
        <v>4288</v>
      </c>
      <c r="M310" s="13">
        <v>3979</v>
      </c>
      <c r="N310" s="13">
        <v>170</v>
      </c>
      <c r="O310" s="15"/>
      <c r="P310" s="6">
        <v>40551.036354166667</v>
      </c>
      <c r="Q310" s="11"/>
      <c r="R310" s="19" t="s">
        <v>2095</v>
      </c>
      <c r="S310" s="11"/>
      <c r="T310" s="11"/>
      <c r="U310" s="10" t="str">
        <f>HYPERLINK("https://pbs.twimg.com/profile_images/1021373803350450177/YdPasB9Q.jpg","View")</f>
        <v>View</v>
      </c>
    </row>
    <row r="311" spans="1:21" ht="30.6">
      <c r="A311" s="6">
        <v>43442.514016203699</v>
      </c>
      <c r="B311" s="7" t="str">
        <f>HYPERLINK("https://twitter.com/pallaron12","@pallaron12")</f>
        <v>@pallaron12</v>
      </c>
      <c r="C311" s="8" t="s">
        <v>2159</v>
      </c>
      <c r="D311" s="9" t="s">
        <v>2160</v>
      </c>
      <c r="E311" s="10" t="str">
        <f>HYPERLINK("https://twitter.com/pallaron12/status/1071363806645903361","1071363806645903361")</f>
        <v>1071363806645903361</v>
      </c>
      <c r="F311" s="12" t="s">
        <v>2161</v>
      </c>
      <c r="G311" s="11"/>
      <c r="H311" s="11"/>
      <c r="I311" s="13">
        <v>0</v>
      </c>
      <c r="J311" s="13">
        <v>0</v>
      </c>
      <c r="K311" s="14" t="str">
        <f t="shared" si="55"/>
        <v>Twitter for Android</v>
      </c>
      <c r="L311" s="13">
        <v>1481</v>
      </c>
      <c r="M311" s="13">
        <v>551</v>
      </c>
      <c r="N311" s="13">
        <v>8</v>
      </c>
      <c r="O311" s="15"/>
      <c r="P311" s="6">
        <v>41854.66134259259</v>
      </c>
      <c r="Q311" s="18" t="s">
        <v>2162</v>
      </c>
      <c r="R311" s="19" t="s">
        <v>2163</v>
      </c>
      <c r="S311" s="11"/>
      <c r="T311" s="11"/>
      <c r="U311" s="10" t="str">
        <f>HYPERLINK("https://pbs.twimg.com/profile_images/1064713832633896961/NkwZ7D9D.jpg","View")</f>
        <v>View</v>
      </c>
    </row>
    <row r="312" spans="1:21" ht="71.400000000000006">
      <c r="A312" s="6">
        <v>43442.512488425928</v>
      </c>
      <c r="B312" s="7" t="str">
        <f>HYPERLINK("https://twitter.com/libertad233","@libertad233")</f>
        <v>@libertad233</v>
      </c>
      <c r="C312" s="8" t="s">
        <v>586</v>
      </c>
      <c r="D312" s="9" t="s">
        <v>587</v>
      </c>
      <c r="E312" s="10" t="str">
        <f>HYPERLINK("https://twitter.com/libertad233/status/1071363256495816704","1071363256495816704")</f>
        <v>1071363256495816704</v>
      </c>
      <c r="F312" s="18" t="s">
        <v>63</v>
      </c>
      <c r="G312" s="11"/>
      <c r="H312" s="11"/>
      <c r="I312" s="13">
        <v>0</v>
      </c>
      <c r="J312" s="13">
        <v>1</v>
      </c>
      <c r="K312" s="14" t="str">
        <f t="shared" ref="K312:K314" si="56">HYPERLINK("http://twitter.com","Twitter Web Client")</f>
        <v>Twitter Web Client</v>
      </c>
      <c r="L312" s="13">
        <v>58</v>
      </c>
      <c r="M312" s="13">
        <v>105</v>
      </c>
      <c r="N312" s="13">
        <v>2</v>
      </c>
      <c r="O312" s="15"/>
      <c r="P312" s="6">
        <v>40399.621030092589</v>
      </c>
      <c r="Q312" s="11"/>
      <c r="R312" s="17"/>
      <c r="S312" s="11"/>
      <c r="T312" s="11"/>
      <c r="U312" s="10" t="str">
        <f>HYPERLINK("https://pbs.twimg.com/profile_images/988776843926032384/hAaD0awh.jpg","View")</f>
        <v>View</v>
      </c>
    </row>
    <row r="313" spans="1:21" ht="102">
      <c r="A313" s="6">
        <v>43442.512037037042</v>
      </c>
      <c r="B313" s="7" t="str">
        <f>HYPERLINK("https://twitter.com/Antonio29407099","@Antonio29407099")</f>
        <v>@Antonio29407099</v>
      </c>
      <c r="C313" s="8" t="s">
        <v>588</v>
      </c>
      <c r="D313" s="9" t="s">
        <v>589</v>
      </c>
      <c r="E313" s="10" t="str">
        <f>HYPERLINK("https://twitter.com/Antonio29407099/status/1071363092423028736","1071363092423028736")</f>
        <v>1071363092423028736</v>
      </c>
      <c r="F313" s="12" t="s">
        <v>590</v>
      </c>
      <c r="G313" s="12" t="s">
        <v>591</v>
      </c>
      <c r="H313" s="11"/>
      <c r="I313" s="13">
        <v>0</v>
      </c>
      <c r="J313" s="13">
        <v>1</v>
      </c>
      <c r="K313" s="14" t="str">
        <f t="shared" si="56"/>
        <v>Twitter Web Client</v>
      </c>
      <c r="L313" s="13">
        <v>421</v>
      </c>
      <c r="M313" s="13">
        <v>423</v>
      </c>
      <c r="N313" s="13">
        <v>8</v>
      </c>
      <c r="O313" s="15"/>
      <c r="P313" s="6">
        <v>40986.32503472222</v>
      </c>
      <c r="Q313" s="18" t="s">
        <v>592</v>
      </c>
      <c r="R313" s="19" t="s">
        <v>593</v>
      </c>
      <c r="S313" s="11"/>
      <c r="T313" s="11"/>
      <c r="U313" s="10" t="str">
        <f>HYPERLINK("https://pbs.twimg.com/profile_images/1071355442616561664/eeWCMpph.jpg","View")</f>
        <v>View</v>
      </c>
    </row>
    <row r="314" spans="1:21" ht="51">
      <c r="A314" s="6">
        <v>43442.511574074073</v>
      </c>
      <c r="B314" s="7" t="str">
        <f>HYPERLINK("https://twitter.com/nomedesporculo1","@nomedesporculo1")</f>
        <v>@nomedesporculo1</v>
      </c>
      <c r="C314" s="8" t="s">
        <v>595</v>
      </c>
      <c r="D314" s="9" t="s">
        <v>597</v>
      </c>
      <c r="E314" s="10" t="str">
        <f>HYPERLINK("https://twitter.com/nomedesporculo1/status/1071362924730552322","1071362924730552322")</f>
        <v>1071362924730552322</v>
      </c>
      <c r="F314" s="12" t="s">
        <v>599</v>
      </c>
      <c r="G314" s="12" t="s">
        <v>600</v>
      </c>
      <c r="H314" s="11"/>
      <c r="I314" s="13">
        <v>0</v>
      </c>
      <c r="J314" s="13">
        <v>0</v>
      </c>
      <c r="K314" s="14" t="str">
        <f t="shared" si="56"/>
        <v>Twitter Web Client</v>
      </c>
      <c r="L314" s="13">
        <v>452</v>
      </c>
      <c r="M314" s="13">
        <v>573</v>
      </c>
      <c r="N314" s="13">
        <v>1</v>
      </c>
      <c r="O314" s="15"/>
      <c r="P314" s="6">
        <v>43229.504178240742</v>
      </c>
      <c r="Q314" s="18" t="s">
        <v>42</v>
      </c>
      <c r="R314" s="19" t="s">
        <v>602</v>
      </c>
      <c r="S314" s="11"/>
      <c r="T314" s="11"/>
      <c r="U314" s="10" t="str">
        <f>HYPERLINK("https://pbs.twimg.com/profile_images/994246645255729152/cHfn_Hjl.jpg","View")</f>
        <v>View</v>
      </c>
    </row>
    <row r="315" spans="1:21" ht="20.399999999999999">
      <c r="A315" s="6">
        <v>43442.510578703703</v>
      </c>
      <c r="B315" s="7" t="str">
        <f>HYPERLINK("https://twitter.com/MariaCarmenS66","@MariaCarmenS66")</f>
        <v>@MariaCarmenS66</v>
      </c>
      <c r="C315" s="8" t="s">
        <v>2177</v>
      </c>
      <c r="D315" s="9" t="s">
        <v>612</v>
      </c>
      <c r="E315" s="10" t="str">
        <f>HYPERLINK("https://twitter.com/MariaCarmenS66/status/1071362561466081280","1071362561466081280")</f>
        <v>1071362561466081280</v>
      </c>
      <c r="F315" s="12" t="s">
        <v>49</v>
      </c>
      <c r="G315" s="11"/>
      <c r="H315" s="11"/>
      <c r="I315" s="13">
        <v>0</v>
      </c>
      <c r="J315" s="13">
        <v>0</v>
      </c>
      <c r="K315" s="14" t="str">
        <f t="shared" ref="K315:K316" si="57">HYPERLINK("http://twitter.com/download/android","Twitter for Android")</f>
        <v>Twitter for Android</v>
      </c>
      <c r="L315" s="13">
        <v>568</v>
      </c>
      <c r="M315" s="13">
        <v>906</v>
      </c>
      <c r="N315" s="13">
        <v>11</v>
      </c>
      <c r="O315" s="15"/>
      <c r="P315" s="6">
        <v>42131.717569444445</v>
      </c>
      <c r="Q315" s="11"/>
      <c r="R315" s="19" t="s">
        <v>2182</v>
      </c>
      <c r="S315" s="11"/>
      <c r="T315" s="11"/>
      <c r="U315" s="10" t="str">
        <f>HYPERLINK("https://pbs.twimg.com/profile_images/601857647801999360/WbiFfo_x.jpg","View")</f>
        <v>View</v>
      </c>
    </row>
    <row r="316" spans="1:21" ht="51">
      <c r="A316" s="6">
        <v>43442.509837962964</v>
      </c>
      <c r="B316" s="7" t="str">
        <f>HYPERLINK("https://twitter.com/Spi16060706","@Spi16060706")</f>
        <v>@Spi16060706</v>
      </c>
      <c r="C316" s="8" t="s">
        <v>2185</v>
      </c>
      <c r="D316" s="9" t="s">
        <v>2186</v>
      </c>
      <c r="E316" s="10" t="str">
        <f>HYPERLINK("https://twitter.com/Spi16060706/status/1071362294465085440","1071362294465085440")</f>
        <v>1071362294465085440</v>
      </c>
      <c r="F316" s="11"/>
      <c r="G316" s="11"/>
      <c r="H316" s="11"/>
      <c r="I316" s="13">
        <v>0</v>
      </c>
      <c r="J316" s="13">
        <v>0</v>
      </c>
      <c r="K316" s="14" t="str">
        <f t="shared" si="57"/>
        <v>Twitter for Android</v>
      </c>
      <c r="L316" s="13">
        <v>8</v>
      </c>
      <c r="M316" s="13">
        <v>106</v>
      </c>
      <c r="N316" s="13">
        <v>0</v>
      </c>
      <c r="O316" s="15"/>
      <c r="P316" s="6">
        <v>43191.501956018517</v>
      </c>
      <c r="Q316" s="18" t="s">
        <v>260</v>
      </c>
      <c r="R316" s="17"/>
      <c r="S316" s="11"/>
      <c r="T316" s="11"/>
      <c r="U316" s="10" t="str">
        <f>HYPERLINK("https://pbs.twimg.com/profile_images/1046759861726457858/oNhmUovA.jpg","View")</f>
        <v>View</v>
      </c>
    </row>
    <row r="317" spans="1:21" ht="40.799999999999997">
      <c r="A317" s="6">
        <v>43442.509305555555</v>
      </c>
      <c r="B317" s="7" t="str">
        <f>HYPERLINK("https://twitter.com/jmegias1","@jmegias1")</f>
        <v>@jmegias1</v>
      </c>
      <c r="C317" s="8" t="s">
        <v>2190</v>
      </c>
      <c r="D317" s="9" t="s">
        <v>279</v>
      </c>
      <c r="E317" s="10" t="str">
        <f>HYPERLINK("https://twitter.com/jmegias1/status/1071362099274792960","1071362099274792960")</f>
        <v>1071362099274792960</v>
      </c>
      <c r="F317" s="12" t="s">
        <v>280</v>
      </c>
      <c r="G317" s="11"/>
      <c r="H317" s="11"/>
      <c r="I317" s="13">
        <v>0</v>
      </c>
      <c r="J317" s="13">
        <v>0</v>
      </c>
      <c r="K317" s="14" t="str">
        <f>HYPERLINK("http://twitter.com","Twitter Web Client")</f>
        <v>Twitter Web Client</v>
      </c>
      <c r="L317" s="13">
        <v>177</v>
      </c>
      <c r="M317" s="13">
        <v>229</v>
      </c>
      <c r="N317" s="13">
        <v>16</v>
      </c>
      <c r="O317" s="15"/>
      <c r="P317" s="6">
        <v>39925.346608796295</v>
      </c>
      <c r="Q317" s="18" t="s">
        <v>2194</v>
      </c>
      <c r="R317" s="19" t="s">
        <v>2195</v>
      </c>
      <c r="S317" s="12" t="s">
        <v>2196</v>
      </c>
      <c r="T317" s="11"/>
      <c r="U317" s="10" t="str">
        <f>HYPERLINK("https://pbs.twimg.com/profile_images/1115775771/juanmm.jpg","View")</f>
        <v>View</v>
      </c>
    </row>
    <row r="318" spans="1:21" ht="102">
      <c r="A318" s="6">
        <v>43442.508275462962</v>
      </c>
      <c r="B318" s="7" t="str">
        <f>HYPERLINK("https://twitter.com/AnnaDemocrata","@AnnaDemocrata")</f>
        <v>@AnnaDemocrata</v>
      </c>
      <c r="C318" s="8" t="s">
        <v>606</v>
      </c>
      <c r="D318" s="9" t="s">
        <v>607</v>
      </c>
      <c r="E318" s="10" t="str">
        <f>HYPERLINK("https://twitter.com/AnnaDemocrata/status/1071361726313054208","1071361726313054208")</f>
        <v>1071361726313054208</v>
      </c>
      <c r="F318" s="18" t="s">
        <v>348</v>
      </c>
      <c r="G318" s="11"/>
      <c r="H318" s="11"/>
      <c r="I318" s="13">
        <v>0</v>
      </c>
      <c r="J318" s="13">
        <v>0</v>
      </c>
      <c r="K318" s="14" t="str">
        <f>HYPERLINK("http://twitter.com/download/iphone","Twitter for iPhone")</f>
        <v>Twitter for iPhone</v>
      </c>
      <c r="L318" s="13">
        <v>96</v>
      </c>
      <c r="M318" s="13">
        <v>147</v>
      </c>
      <c r="N318" s="13">
        <v>0</v>
      </c>
      <c r="O318" s="15"/>
      <c r="P318" s="6">
        <v>43013.465046296296</v>
      </c>
      <c r="Q318" s="18" t="s">
        <v>173</v>
      </c>
      <c r="R318" s="19" t="s">
        <v>610</v>
      </c>
      <c r="S318" s="11"/>
      <c r="T318" s="11"/>
      <c r="U318" s="10" t="str">
        <f>HYPERLINK("https://pbs.twimg.com/profile_images/965943715188629505/o5YUBLAw.jpg","View")</f>
        <v>View</v>
      </c>
    </row>
    <row r="319" spans="1:21" ht="40.799999999999997">
      <c r="A319" s="6">
        <v>43442.508067129631</v>
      </c>
      <c r="B319" s="7" t="str">
        <f>HYPERLINK("https://twitter.com/observatoryo","@observatoryo")</f>
        <v>@observatoryo</v>
      </c>
      <c r="C319" s="8" t="s">
        <v>2204</v>
      </c>
      <c r="D319" s="9" t="s">
        <v>2205</v>
      </c>
      <c r="E319" s="10" t="str">
        <f>HYPERLINK("https://twitter.com/observatoryo/status/1071361653361524736","1071361653361524736")</f>
        <v>1071361653361524736</v>
      </c>
      <c r="F319" s="11"/>
      <c r="G319" s="11"/>
      <c r="H319" s="11"/>
      <c r="I319" s="13">
        <v>0</v>
      </c>
      <c r="J319" s="13">
        <v>0</v>
      </c>
      <c r="K319" s="14" t="str">
        <f t="shared" ref="K319:K320" si="58">HYPERLINK("http://twitter.com/download/android","Twitter for Android")</f>
        <v>Twitter for Android</v>
      </c>
      <c r="L319" s="13">
        <v>1922</v>
      </c>
      <c r="M319" s="13">
        <v>1232</v>
      </c>
      <c r="N319" s="13">
        <v>123</v>
      </c>
      <c r="O319" s="15"/>
      <c r="P319" s="6">
        <v>40752.838252314818</v>
      </c>
      <c r="Q319" s="18" t="s">
        <v>2208</v>
      </c>
      <c r="R319" s="19" t="s">
        <v>2209</v>
      </c>
      <c r="S319" s="11"/>
      <c r="T319" s="11"/>
      <c r="U319" s="10" t="str">
        <f>HYPERLINK("https://pbs.twimg.com/profile_images/974663868411777025/W-SFjKaP.jpg","View")</f>
        <v>View</v>
      </c>
    </row>
    <row r="320" spans="1:21" ht="40.799999999999997">
      <c r="A320" s="6">
        <v>43442.5075</v>
      </c>
      <c r="B320" s="7" t="str">
        <f>HYPERLINK("https://twitter.com/Monica16_3","@Monica16_3")</f>
        <v>@Monica16_3</v>
      </c>
      <c r="C320" s="8" t="s">
        <v>613</v>
      </c>
      <c r="D320" s="9" t="s">
        <v>614</v>
      </c>
      <c r="E320" s="10" t="str">
        <f>HYPERLINK("https://twitter.com/Monica16_3/status/1071361447970652160","1071361447970652160")</f>
        <v>1071361447970652160</v>
      </c>
      <c r="F320" s="11"/>
      <c r="G320" s="12" t="s">
        <v>615</v>
      </c>
      <c r="H320" s="11"/>
      <c r="I320" s="13">
        <v>0</v>
      </c>
      <c r="J320" s="13">
        <v>3</v>
      </c>
      <c r="K320" s="14" t="str">
        <f t="shared" si="58"/>
        <v>Twitter for Android</v>
      </c>
      <c r="L320" s="13">
        <v>144</v>
      </c>
      <c r="M320" s="13">
        <v>153</v>
      </c>
      <c r="N320" s="13">
        <v>4</v>
      </c>
      <c r="O320" s="15"/>
      <c r="P320" s="6">
        <v>43416.118634259255</v>
      </c>
      <c r="Q320" s="18" t="s">
        <v>616</v>
      </c>
      <c r="R320" s="19" t="s">
        <v>617</v>
      </c>
      <c r="S320" s="11"/>
      <c r="T320" s="11"/>
      <c r="U320" s="10" t="str">
        <f>HYPERLINK("https://pbs.twimg.com/profile_images/1070101588310704128/iIyMdDcN.jpg","View")</f>
        <v>View</v>
      </c>
    </row>
    <row r="321" spans="1:21" ht="13.2">
      <c r="A321" s="6">
        <v>43442.507025462968</v>
      </c>
      <c r="B321" s="7" t="str">
        <f>HYPERLINK("https://twitter.com/AdelinWalino1","@AdelinWalino1")</f>
        <v>@AdelinWalino1</v>
      </c>
      <c r="C321" s="8" t="s">
        <v>2214</v>
      </c>
      <c r="D321" s="9" t="s">
        <v>2215</v>
      </c>
      <c r="E321" s="10" t="str">
        <f>HYPERLINK("https://twitter.com/AdelinWalino1/status/1071361276075565056","1071361276075565056")</f>
        <v>1071361276075565056</v>
      </c>
      <c r="F321" s="12" t="s">
        <v>49</v>
      </c>
      <c r="G321" s="11"/>
      <c r="H321" s="11"/>
      <c r="I321" s="13">
        <v>0</v>
      </c>
      <c r="J321" s="13">
        <v>1</v>
      </c>
      <c r="K321" s="14" t="str">
        <f>HYPERLINK("http://twitter.com","Twitter Web Client")</f>
        <v>Twitter Web Client</v>
      </c>
      <c r="L321" s="13">
        <v>50</v>
      </c>
      <c r="M321" s="13">
        <v>39</v>
      </c>
      <c r="N321" s="13">
        <v>0</v>
      </c>
      <c r="O321" s="15"/>
      <c r="P321" s="6">
        <v>42752.599189814813</v>
      </c>
      <c r="Q321" s="11"/>
      <c r="R321" s="17"/>
      <c r="S321" s="11"/>
      <c r="T321" s="11"/>
      <c r="U321" s="10" t="str">
        <f>HYPERLINK("https://pbs.twimg.com/profile_images/852938416106991616/I4Ey9hJJ.jpg","View")</f>
        <v>View</v>
      </c>
    </row>
    <row r="322" spans="1:21" ht="51">
      <c r="A322" s="6">
        <v>43442.507002314815</v>
      </c>
      <c r="B322" s="7" t="str">
        <f>HYPERLINK("https://twitter.com/OrbitaEduardo","@OrbitaEduardo")</f>
        <v>@OrbitaEduardo</v>
      </c>
      <c r="C322" s="8" t="s">
        <v>930</v>
      </c>
      <c r="D322" s="9" t="s">
        <v>2218</v>
      </c>
      <c r="E322" s="10" t="str">
        <f>HYPERLINK("https://twitter.com/OrbitaEduardo/status/1071361264755073024","1071361264755073024")</f>
        <v>1071361264755073024</v>
      </c>
      <c r="F322" s="11"/>
      <c r="G322" s="12" t="s">
        <v>2219</v>
      </c>
      <c r="H322" s="11"/>
      <c r="I322" s="13">
        <v>58</v>
      </c>
      <c r="J322" s="13">
        <v>62</v>
      </c>
      <c r="K322" s="14" t="str">
        <f>HYPERLINK("http://twitter.com/download/android","Twitter for Android")</f>
        <v>Twitter for Android</v>
      </c>
      <c r="L322" s="13">
        <v>4523</v>
      </c>
      <c r="M322" s="13">
        <v>4948</v>
      </c>
      <c r="N322" s="13">
        <v>13</v>
      </c>
      <c r="O322" s="15"/>
      <c r="P322" s="6">
        <v>43110.374305555553</v>
      </c>
      <c r="Q322" s="18" t="s">
        <v>260</v>
      </c>
      <c r="R322" s="19" t="s">
        <v>935</v>
      </c>
      <c r="S322" s="11"/>
      <c r="T322" s="11"/>
      <c r="U322" s="10" t="str">
        <f>HYPERLINK("https://pbs.twimg.com/profile_images/1034013666600001538/MmqVJqFc.jpg","View")</f>
        <v>View</v>
      </c>
    </row>
    <row r="323" spans="1:21" ht="40.799999999999997">
      <c r="A323" s="6">
        <v>43442.506886574076</v>
      </c>
      <c r="B323" s="7" t="str">
        <f>HYPERLINK("https://twitter.com/ISPSOEMalaga","@ISPSOEMalaga")</f>
        <v>@ISPSOEMalaga</v>
      </c>
      <c r="C323" s="8" t="s">
        <v>2222</v>
      </c>
      <c r="D323" s="9" t="s">
        <v>2223</v>
      </c>
      <c r="E323" s="10" t="str">
        <f>HYPERLINK("https://twitter.com/ISPSOEMalaga/status/1071361223508328448","1071361223508328448")</f>
        <v>1071361223508328448</v>
      </c>
      <c r="F323" s="12" t="s">
        <v>2224</v>
      </c>
      <c r="G323" s="11"/>
      <c r="H323" s="11"/>
      <c r="I323" s="13">
        <v>0</v>
      </c>
      <c r="J323" s="13">
        <v>0</v>
      </c>
      <c r="K323" s="14" t="str">
        <f t="shared" ref="K323:K324" si="59">HYPERLINK("http://twitter.com","Twitter Web Client")</f>
        <v>Twitter Web Client</v>
      </c>
      <c r="L323" s="13">
        <v>969</v>
      </c>
      <c r="M323" s="13">
        <v>988</v>
      </c>
      <c r="N323" s="13">
        <v>13</v>
      </c>
      <c r="O323" s="15"/>
      <c r="P323" s="6">
        <v>41191.809837962966</v>
      </c>
      <c r="Q323" s="18" t="s">
        <v>2227</v>
      </c>
      <c r="R323" s="19" t="s">
        <v>2228</v>
      </c>
      <c r="S323" s="11"/>
      <c r="T323" s="11"/>
      <c r="U323" s="10" t="str">
        <f>HYPERLINK("https://pbs.twimg.com/profile_images/2699068015/0cad498078556d59a7ac4d33565beccb.jpeg","View")</f>
        <v>View</v>
      </c>
    </row>
    <row r="324" spans="1:21" ht="40.799999999999997">
      <c r="A324" s="6">
        <v>43442.505787037036</v>
      </c>
      <c r="B324" s="7" t="str">
        <f>HYPERLINK("https://twitter.com/MiguelTrinidadA","@MiguelTrinidadA")</f>
        <v>@MiguelTrinidadA</v>
      </c>
      <c r="C324" s="8" t="s">
        <v>2229</v>
      </c>
      <c r="D324" s="9" t="s">
        <v>2230</v>
      </c>
      <c r="E324" s="10" t="str">
        <f>HYPERLINK("https://twitter.com/MiguelTrinidadA/status/1071360823996661761","1071360823996661761")</f>
        <v>1071360823996661761</v>
      </c>
      <c r="F324" s="12" t="s">
        <v>2232</v>
      </c>
      <c r="G324" s="11"/>
      <c r="H324" s="11"/>
      <c r="I324" s="13">
        <v>0</v>
      </c>
      <c r="J324" s="13">
        <v>0</v>
      </c>
      <c r="K324" s="14" t="str">
        <f t="shared" si="59"/>
        <v>Twitter Web Client</v>
      </c>
      <c r="L324" s="13">
        <v>3529</v>
      </c>
      <c r="M324" s="13">
        <v>3678</v>
      </c>
      <c r="N324" s="13">
        <v>35</v>
      </c>
      <c r="O324" s="15"/>
      <c r="P324" s="6">
        <v>41180.740416666667</v>
      </c>
      <c r="Q324" s="18" t="s">
        <v>42</v>
      </c>
      <c r="R324" s="19" t="s">
        <v>2233</v>
      </c>
      <c r="S324" s="11"/>
      <c r="T324" s="11"/>
      <c r="U324" s="10" t="str">
        <f>HYPERLINK("https://pbs.twimg.com/profile_images/843509060167262210/lz-DfFMm.jpg","View")</f>
        <v>View</v>
      </c>
    </row>
    <row r="325" spans="1:21" ht="61.2">
      <c r="A325" s="6">
        <v>43442.505636574075</v>
      </c>
      <c r="B325" s="7" t="str">
        <f>HYPERLINK("https://twitter.com/KRLS_0","@KRLS_0")</f>
        <v>@KRLS_0</v>
      </c>
      <c r="C325" s="8" t="s">
        <v>619</v>
      </c>
      <c r="D325" s="9" t="s">
        <v>620</v>
      </c>
      <c r="E325" s="10" t="str">
        <f>HYPERLINK("https://twitter.com/KRLS_0/status/1071360772280852480","1071360772280852480")</f>
        <v>1071360772280852480</v>
      </c>
      <c r="F325" s="11"/>
      <c r="G325" s="12" t="s">
        <v>622</v>
      </c>
      <c r="H325" s="11"/>
      <c r="I325" s="13">
        <v>0</v>
      </c>
      <c r="J325" s="13">
        <v>1</v>
      </c>
      <c r="K325" s="14" t="str">
        <f>HYPERLINK("https://mobile.twitter.com","Twitter Lite")</f>
        <v>Twitter Lite</v>
      </c>
      <c r="L325" s="13">
        <v>26</v>
      </c>
      <c r="M325" s="13">
        <v>22</v>
      </c>
      <c r="N325" s="13">
        <v>0</v>
      </c>
      <c r="O325" s="15"/>
      <c r="P325" s="6">
        <v>43064.097650462965</v>
      </c>
      <c r="Q325" s="18" t="s">
        <v>42</v>
      </c>
      <c r="R325" s="19" t="s">
        <v>623</v>
      </c>
      <c r="S325" s="11"/>
      <c r="T325" s="11"/>
      <c r="U325" s="10" t="str">
        <f>HYPERLINK("https://pbs.twimg.com/profile_images/1021183585481617410/p5QGShxw.jpg","View")</f>
        <v>View</v>
      </c>
    </row>
    <row r="326" spans="1:21" ht="81.599999999999994">
      <c r="A326" s="6">
        <v>43442.505358796298</v>
      </c>
      <c r="B326" s="7" t="str">
        <f>HYPERLINK("https://twitter.com/Becky130777","@Becky130777")</f>
        <v>@Becky130777</v>
      </c>
      <c r="C326" s="8" t="s">
        <v>624</v>
      </c>
      <c r="D326" s="9" t="s">
        <v>625</v>
      </c>
      <c r="E326" s="10" t="str">
        <f>HYPERLINK("https://twitter.com/Becky130777/status/1071360670749417472","1071360670749417472")</f>
        <v>1071360670749417472</v>
      </c>
      <c r="F326" s="12" t="s">
        <v>626</v>
      </c>
      <c r="G326" s="11"/>
      <c r="H326" s="11"/>
      <c r="I326" s="13">
        <v>0</v>
      </c>
      <c r="J326" s="13">
        <v>0</v>
      </c>
      <c r="K326" s="14" t="str">
        <f t="shared" ref="K326:K327" si="60">HYPERLINK("http://twitter.com/download/android","Twitter for Android")</f>
        <v>Twitter for Android</v>
      </c>
      <c r="L326" s="13">
        <v>134</v>
      </c>
      <c r="M326" s="13">
        <v>110</v>
      </c>
      <c r="N326" s="13">
        <v>0</v>
      </c>
      <c r="O326" s="15"/>
      <c r="P326" s="6">
        <v>43394.472662037035</v>
      </c>
      <c r="Q326" s="11"/>
      <c r="R326" s="19" t="s">
        <v>627</v>
      </c>
      <c r="S326" s="11"/>
      <c r="T326" s="11"/>
      <c r="U326" s="10" t="str">
        <f>HYPERLINK("https://pbs.twimg.com/profile_images/1070801950797692930/wQUx-Zko.jpg","View")</f>
        <v>View</v>
      </c>
    </row>
    <row r="327" spans="1:21" ht="30.6">
      <c r="A327" s="6">
        <v>43442.503460648149</v>
      </c>
      <c r="B327" s="7" t="str">
        <f>HYPERLINK("https://twitter.com/Gus__Vik","@Gus__Vik")</f>
        <v>@Gus__Vik</v>
      </c>
      <c r="C327" s="8" t="s">
        <v>630</v>
      </c>
      <c r="D327" s="9" t="s">
        <v>632</v>
      </c>
      <c r="E327" s="10" t="str">
        <f>HYPERLINK("https://twitter.com/Gus__Vik/status/1071359982401191936","1071359982401191936")</f>
        <v>1071359982401191936</v>
      </c>
      <c r="F327" s="18" t="s">
        <v>95</v>
      </c>
      <c r="G327" s="11"/>
      <c r="H327" s="11"/>
      <c r="I327" s="13">
        <v>1</v>
      </c>
      <c r="J327" s="13">
        <v>0</v>
      </c>
      <c r="K327" s="14" t="str">
        <f t="shared" si="60"/>
        <v>Twitter for Android</v>
      </c>
      <c r="L327" s="13">
        <v>1157</v>
      </c>
      <c r="M327" s="13">
        <v>980</v>
      </c>
      <c r="N327" s="13">
        <v>15</v>
      </c>
      <c r="O327" s="15"/>
      <c r="P327" s="6">
        <v>40666.461284722223</v>
      </c>
      <c r="Q327" s="11"/>
      <c r="R327" s="17"/>
      <c r="S327" s="11"/>
      <c r="T327" s="11"/>
      <c r="U327" s="10" t="str">
        <f>HYPERLINK("https://pbs.twimg.com/profile_images/1060304776649433089/7Cnn7Jpp.jpg","View")</f>
        <v>View</v>
      </c>
    </row>
    <row r="328" spans="1:21" ht="51">
      <c r="A328" s="6">
        <v>43442.50271990741</v>
      </c>
      <c r="B328" s="7" t="str">
        <f>HYPERLINK("https://twitter.com/misterdonpablo","@misterdonpablo")</f>
        <v>@misterdonpablo</v>
      </c>
      <c r="C328" s="8" t="s">
        <v>636</v>
      </c>
      <c r="D328" s="9" t="s">
        <v>637</v>
      </c>
      <c r="E328" s="10" t="str">
        <f>HYPERLINK("https://twitter.com/misterdonpablo/status/1071359713906962433","1071359713906962433")</f>
        <v>1071359713906962433</v>
      </c>
      <c r="F328" s="11"/>
      <c r="G328" s="12" t="s">
        <v>638</v>
      </c>
      <c r="H328" s="11"/>
      <c r="I328" s="13">
        <v>7</v>
      </c>
      <c r="J328" s="13">
        <v>16</v>
      </c>
      <c r="K328" s="14" t="str">
        <f>HYPERLINK("http://twitter.com/download/iphone","Twitter for iPhone")</f>
        <v>Twitter for iPhone</v>
      </c>
      <c r="L328" s="13">
        <v>8450</v>
      </c>
      <c r="M328" s="13">
        <v>9079</v>
      </c>
      <c r="N328" s="13">
        <v>18</v>
      </c>
      <c r="O328" s="15"/>
      <c r="P328" s="6">
        <v>42242.962083333332</v>
      </c>
      <c r="Q328" s="11"/>
      <c r="R328" s="17"/>
      <c r="S328" s="11"/>
      <c r="T328" s="11"/>
      <c r="U328" s="10" t="str">
        <f>HYPERLINK("https://pbs.twimg.com/profile_images/636646791878995969/Fpg5rJ84.jpg","View")</f>
        <v>View</v>
      </c>
    </row>
    <row r="329" spans="1:21" ht="40.799999999999997">
      <c r="A329" s="6">
        <v>43442.502337962964</v>
      </c>
      <c r="B329" s="7" t="str">
        <f>HYPERLINK("https://twitter.com/ATLANTE_NACHEL","@ATLANTE_NACHEL")</f>
        <v>@ATLANTE_NACHEL</v>
      </c>
      <c r="C329" s="8" t="s">
        <v>2245</v>
      </c>
      <c r="D329" s="9" t="s">
        <v>2246</v>
      </c>
      <c r="E329" s="10" t="str">
        <f>HYPERLINK("https://twitter.com/ATLANTE_NACHEL/status/1071359575679528962","1071359575679528962")</f>
        <v>1071359575679528962</v>
      </c>
      <c r="F329" s="12" t="s">
        <v>2247</v>
      </c>
      <c r="G329" s="11"/>
      <c r="H329" s="11"/>
      <c r="I329" s="13">
        <v>0</v>
      </c>
      <c r="J329" s="13">
        <v>0</v>
      </c>
      <c r="K329" s="14" t="str">
        <f>HYPERLINK("https://www.google.com/","Google")</f>
        <v>Google</v>
      </c>
      <c r="L329" s="13">
        <v>302</v>
      </c>
      <c r="M329" s="13">
        <v>1228</v>
      </c>
      <c r="N329" s="13">
        <v>4</v>
      </c>
      <c r="O329" s="15"/>
      <c r="P329" s="6">
        <v>40519.708541666667</v>
      </c>
      <c r="Q329" s="18" t="s">
        <v>1682</v>
      </c>
      <c r="R329" s="19" t="s">
        <v>2250</v>
      </c>
      <c r="S329" s="12" t="s">
        <v>2251</v>
      </c>
      <c r="T329" s="11"/>
      <c r="U329" s="10" t="str">
        <f>HYPERLINK("https://pbs.twimg.com/profile_images/1184878778/fototierra.jpg","View")</f>
        <v>View</v>
      </c>
    </row>
    <row r="330" spans="1:21" ht="20.399999999999999">
      <c r="A330" s="6">
        <v>43442.502233796295</v>
      </c>
      <c r="B330" s="7" t="str">
        <f>HYPERLINK("https://twitter.com/lolapastur","@lolapastur")</f>
        <v>@lolapastur</v>
      </c>
      <c r="C330" s="8" t="s">
        <v>2253</v>
      </c>
      <c r="D330" s="9" t="s">
        <v>279</v>
      </c>
      <c r="E330" s="10" t="str">
        <f>HYPERLINK("https://twitter.com/lolapastur/status/1071359538949959680","1071359538949959680")</f>
        <v>1071359538949959680</v>
      </c>
      <c r="F330" s="12" t="s">
        <v>280</v>
      </c>
      <c r="G330" s="11"/>
      <c r="H330" s="11"/>
      <c r="I330" s="13">
        <v>0</v>
      </c>
      <c r="J330" s="13">
        <v>1</v>
      </c>
      <c r="K330" s="14" t="str">
        <f>HYPERLINK("http://twitter.com/download/iphone","Twitter for iPhone")</f>
        <v>Twitter for iPhone</v>
      </c>
      <c r="L330" s="13">
        <v>3784</v>
      </c>
      <c r="M330" s="13">
        <v>2833</v>
      </c>
      <c r="N330" s="13">
        <v>33</v>
      </c>
      <c r="O330" s="15"/>
      <c r="P330" s="6">
        <v>40913.599293981482</v>
      </c>
      <c r="Q330" s="11"/>
      <c r="R330" s="19" t="s">
        <v>2258</v>
      </c>
      <c r="S330" s="11"/>
      <c r="T330" s="11"/>
      <c r="U330" s="10" t="str">
        <f>HYPERLINK("https://pbs.twimg.com/profile_images/934821295736451073/tnymHvNj.jpg","View")</f>
        <v>View</v>
      </c>
    </row>
    <row r="331" spans="1:21" ht="40.799999999999997">
      <c r="A331" s="6">
        <v>43442.501585648148</v>
      </c>
      <c r="B331" s="7" t="str">
        <f>HYPERLINK("https://twitter.com/ramdica","@ramdica")</f>
        <v>@ramdica</v>
      </c>
      <c r="C331" s="8" t="s">
        <v>2263</v>
      </c>
      <c r="D331" s="9" t="s">
        <v>879</v>
      </c>
      <c r="E331" s="10" t="str">
        <f>HYPERLINK("https://twitter.com/ramdica/status/1071359302533869568","1071359302533869568")</f>
        <v>1071359302533869568</v>
      </c>
      <c r="F331" s="12" t="s">
        <v>881</v>
      </c>
      <c r="G331" s="11"/>
      <c r="H331" s="11"/>
      <c r="I331" s="13">
        <v>3</v>
      </c>
      <c r="J331" s="13">
        <v>2</v>
      </c>
      <c r="K331" s="14" t="str">
        <f t="shared" ref="K331:K333" si="61">HYPERLINK("http://twitter.com/download/android","Twitter for Android")</f>
        <v>Twitter for Android</v>
      </c>
      <c r="L331" s="13">
        <v>216</v>
      </c>
      <c r="M331" s="13">
        <v>796</v>
      </c>
      <c r="N331" s="13">
        <v>6</v>
      </c>
      <c r="O331" s="15"/>
      <c r="P331" s="6">
        <v>40168.593078703707</v>
      </c>
      <c r="Q331" s="18" t="s">
        <v>2266</v>
      </c>
      <c r="R331" s="17"/>
      <c r="S331" s="11"/>
      <c r="T331" s="11"/>
      <c r="U331" s="10" t="str">
        <f>HYPERLINK("https://pbs.twimg.com/profile_images/585375050/yin-yang.jpg","View")</f>
        <v>View</v>
      </c>
    </row>
    <row r="332" spans="1:21" ht="51">
      <c r="A332" s="6">
        <v>43442.501377314809</v>
      </c>
      <c r="B332" s="7" t="str">
        <f>HYPERLINK("https://twitter.com/desenchufada37","@desenchufada37")</f>
        <v>@desenchufada37</v>
      </c>
      <c r="C332" s="8" t="s">
        <v>2270</v>
      </c>
      <c r="D332" s="9" t="s">
        <v>2271</v>
      </c>
      <c r="E332" s="10" t="str">
        <f>HYPERLINK("https://twitter.com/desenchufada37/status/1071359227157995520","1071359227157995520")</f>
        <v>1071359227157995520</v>
      </c>
      <c r="F332" s="11"/>
      <c r="G332" s="11"/>
      <c r="H332" s="11"/>
      <c r="I332" s="13">
        <v>0</v>
      </c>
      <c r="J332" s="13">
        <v>0</v>
      </c>
      <c r="K332" s="14" t="str">
        <f t="shared" si="61"/>
        <v>Twitter for Android</v>
      </c>
      <c r="L332" s="13">
        <v>1004</v>
      </c>
      <c r="M332" s="13">
        <v>2063</v>
      </c>
      <c r="N332" s="13">
        <v>2</v>
      </c>
      <c r="O332" s="15"/>
      <c r="P332" s="6">
        <v>42481.629444444443</v>
      </c>
      <c r="Q332" s="11"/>
      <c r="R332" s="19" t="s">
        <v>2274</v>
      </c>
      <c r="S332" s="11"/>
      <c r="T332" s="11"/>
      <c r="U332" s="10" t="str">
        <f>HYPERLINK("https://pbs.twimg.com/profile_images/1036619737172725761/gJgnA8Db.jpg","View")</f>
        <v>View</v>
      </c>
    </row>
    <row r="333" spans="1:21" ht="20.399999999999999">
      <c r="A333" s="6">
        <v>43442.500706018516</v>
      </c>
      <c r="B333" s="7" t="str">
        <f>HYPERLINK("https://twitter.com/Alberto17617","@Alberto17617")</f>
        <v>@Alberto17617</v>
      </c>
      <c r="C333" s="8" t="s">
        <v>2277</v>
      </c>
      <c r="D333" s="9" t="s">
        <v>285</v>
      </c>
      <c r="E333" s="10" t="str">
        <f>HYPERLINK("https://twitter.com/Alberto17617/status/1071358983783501824","1071358983783501824")</f>
        <v>1071358983783501824</v>
      </c>
      <c r="F333" s="12" t="s">
        <v>290</v>
      </c>
      <c r="G333" s="11"/>
      <c r="H333" s="11"/>
      <c r="I333" s="13">
        <v>0</v>
      </c>
      <c r="J333" s="13">
        <v>0</v>
      </c>
      <c r="K333" s="14" t="str">
        <f t="shared" si="61"/>
        <v>Twitter for Android</v>
      </c>
      <c r="L333" s="13">
        <v>282</v>
      </c>
      <c r="M333" s="13">
        <v>181</v>
      </c>
      <c r="N333" s="13">
        <v>3</v>
      </c>
      <c r="O333" s="15"/>
      <c r="P333" s="6">
        <v>42157.525729166664</v>
      </c>
      <c r="Q333" s="11"/>
      <c r="R333" s="19" t="s">
        <v>2281</v>
      </c>
      <c r="S333" s="11"/>
      <c r="T333" s="11"/>
      <c r="U333" s="10" t="str">
        <f>HYPERLINK("https://pbs.twimg.com/profile_images/1049421266913042434/3NUA-_25.jpg","View")</f>
        <v>View</v>
      </c>
    </row>
    <row r="334" spans="1:21" ht="30.6">
      <c r="A334" s="6">
        <v>43442.499166666668</v>
      </c>
      <c r="B334" s="7" t="str">
        <f>HYPERLINK("https://twitter.com/1000Fabiana","@1000Fabiana")</f>
        <v>@1000Fabiana</v>
      </c>
      <c r="C334" s="8" t="s">
        <v>2284</v>
      </c>
      <c r="D334" s="9" t="s">
        <v>2285</v>
      </c>
      <c r="E334" s="10" t="str">
        <f>HYPERLINK("https://twitter.com/1000Fabiana/status/1071358425265770498","1071358425265770498")</f>
        <v>1071358425265770498</v>
      </c>
      <c r="F334" s="12" t="s">
        <v>395</v>
      </c>
      <c r="G334" s="11"/>
      <c r="H334" s="11"/>
      <c r="I334" s="13">
        <v>0</v>
      </c>
      <c r="J334" s="13">
        <v>0</v>
      </c>
      <c r="K334" s="14" t="str">
        <f>HYPERLINK("http://twitter.com","Twitter Web Client")</f>
        <v>Twitter Web Client</v>
      </c>
      <c r="L334" s="13">
        <v>1140</v>
      </c>
      <c r="M334" s="13">
        <v>787</v>
      </c>
      <c r="N334" s="13">
        <v>7</v>
      </c>
      <c r="O334" s="15"/>
      <c r="P334" s="6">
        <v>41977.418449074074</v>
      </c>
      <c r="Q334" s="18" t="s">
        <v>2290</v>
      </c>
      <c r="R334" s="19" t="s">
        <v>2291</v>
      </c>
      <c r="S334" s="11"/>
      <c r="T334" s="11"/>
      <c r="U334" s="10" t="str">
        <f>HYPERLINK("https://pbs.twimg.com/profile_images/1063878930942304257/SG45PdbI.jpg","View")</f>
        <v>View</v>
      </c>
    </row>
    <row r="335" spans="1:21" ht="30.6">
      <c r="A335" s="6">
        <v>43442.499143518522</v>
      </c>
      <c r="B335" s="7" t="str">
        <f>HYPERLINK("https://twitter.com/UnidosPorEspana","@UnidosPorEspana")</f>
        <v>@UnidosPorEspana</v>
      </c>
      <c r="C335" s="8" t="s">
        <v>640</v>
      </c>
      <c r="D335" s="9" t="s">
        <v>641</v>
      </c>
      <c r="E335" s="10" t="str">
        <f>HYPERLINK("https://twitter.com/UnidosPorEspana/status/1071358420543000576","1071358420543000576")</f>
        <v>1071358420543000576</v>
      </c>
      <c r="F335" s="11"/>
      <c r="G335" s="12" t="s">
        <v>642</v>
      </c>
      <c r="H335" s="11"/>
      <c r="I335" s="13">
        <v>0</v>
      </c>
      <c r="J335" s="13">
        <v>3</v>
      </c>
      <c r="K335" s="14" t="str">
        <f>HYPERLINK("https://about.twitter.com/products/tweetdeck","TweetDeck")</f>
        <v>TweetDeck</v>
      </c>
      <c r="L335" s="13">
        <v>81</v>
      </c>
      <c r="M335" s="13">
        <v>30</v>
      </c>
      <c r="N335" s="13">
        <v>0</v>
      </c>
      <c r="O335" s="15"/>
      <c r="P335" s="6">
        <v>42409.893472222218</v>
      </c>
      <c r="Q335" s="18" t="s">
        <v>644</v>
      </c>
      <c r="R335" s="19" t="s">
        <v>645</v>
      </c>
      <c r="S335" s="11"/>
      <c r="T335" s="11"/>
      <c r="U335" s="10" t="str">
        <f>HYPERLINK("https://pbs.twimg.com/profile_images/1031118506492944384/uMOTn7I0.jpg","View")</f>
        <v>View</v>
      </c>
    </row>
    <row r="336" spans="1:21" ht="51">
      <c r="A336" s="6">
        <v>43442.498171296298</v>
      </c>
      <c r="B336" s="7" t="str">
        <f>HYPERLINK("https://twitter.com/Alternativa_VOX","@Alternativa_VOX")</f>
        <v>@Alternativa_VOX</v>
      </c>
      <c r="C336" s="8" t="s">
        <v>646</v>
      </c>
      <c r="D336" s="9" t="s">
        <v>647</v>
      </c>
      <c r="E336" s="10" t="str">
        <f>HYPERLINK("https://twitter.com/Alternativa_VOX/status/1071358064073338880","1071358064073338880")</f>
        <v>1071358064073338880</v>
      </c>
      <c r="F336" s="11"/>
      <c r="G336" s="12" t="s">
        <v>591</v>
      </c>
      <c r="H336" s="11"/>
      <c r="I336" s="13">
        <v>125</v>
      </c>
      <c r="J336" s="13">
        <v>164</v>
      </c>
      <c r="K336" s="14" t="str">
        <f>HYPERLINK("http://twitter.com/download/iphone","Twitter for iPhone")</f>
        <v>Twitter for iPhone</v>
      </c>
      <c r="L336" s="13">
        <v>16215</v>
      </c>
      <c r="M336" s="13">
        <v>2214</v>
      </c>
      <c r="N336" s="13">
        <v>70</v>
      </c>
      <c r="O336" s="15"/>
      <c r="P336" s="6">
        <v>42414.677303240736</v>
      </c>
      <c r="Q336" s="11"/>
      <c r="R336" s="19" t="s">
        <v>650</v>
      </c>
      <c r="S336" s="11"/>
      <c r="T336" s="11"/>
      <c r="U336" s="10" t="str">
        <f>HYPERLINK("https://pbs.twimg.com/profile_images/1054080233844936705/IYgqsUMs.jpg","View")</f>
        <v>View</v>
      </c>
    </row>
    <row r="337" spans="1:21" ht="40.799999999999997">
      <c r="A337" s="6">
        <v>43442.497696759259</v>
      </c>
      <c r="B337" s="7" t="str">
        <f>HYPERLINK("https://twitter.com/flapa","@flapa")</f>
        <v>@flapa</v>
      </c>
      <c r="C337" s="8" t="s">
        <v>2300</v>
      </c>
      <c r="D337" s="9" t="s">
        <v>2301</v>
      </c>
      <c r="E337" s="10" t="str">
        <f>HYPERLINK("https://twitter.com/flapa/status/1071357894828982272","1071357894828982272")</f>
        <v>1071357894828982272</v>
      </c>
      <c r="F337" s="11"/>
      <c r="G337" s="12" t="s">
        <v>2302</v>
      </c>
      <c r="H337" s="11"/>
      <c r="I337" s="13">
        <v>0</v>
      </c>
      <c r="J337" s="13">
        <v>1</v>
      </c>
      <c r="K337" s="14" t="str">
        <f>HYPERLINK("http://twitter.com/download/android","Twitter for Android")</f>
        <v>Twitter for Android</v>
      </c>
      <c r="L337" s="13">
        <v>1418</v>
      </c>
      <c r="M337" s="13">
        <v>594</v>
      </c>
      <c r="N337" s="13">
        <v>63</v>
      </c>
      <c r="O337" s="15"/>
      <c r="P337" s="6">
        <v>39557.773969907408</v>
      </c>
      <c r="Q337" s="18" t="s">
        <v>2303</v>
      </c>
      <c r="R337" s="19" t="s">
        <v>2304</v>
      </c>
      <c r="S337" s="12" t="s">
        <v>2305</v>
      </c>
      <c r="T337" s="11"/>
      <c r="U337" s="10" t="str">
        <f>HYPERLINK("https://pbs.twimg.com/profile_images/1057451971500744706/iFVV7iwL.jpg","View")</f>
        <v>View</v>
      </c>
    </row>
    <row r="338" spans="1:21" ht="30.6">
      <c r="A338" s="6">
        <v>43442.497499999998</v>
      </c>
      <c r="B338" s="7" t="str">
        <f>HYPERLINK("https://twitter.com/djresa","@djresa")</f>
        <v>@djresa</v>
      </c>
      <c r="C338" s="8" t="s">
        <v>2306</v>
      </c>
      <c r="D338" s="9" t="s">
        <v>2307</v>
      </c>
      <c r="E338" s="10" t="str">
        <f>HYPERLINK("https://twitter.com/djresa/status/1071357821353123840","1071357821353123840")</f>
        <v>1071357821353123840</v>
      </c>
      <c r="F338" s="12" t="s">
        <v>2308</v>
      </c>
      <c r="G338" s="11"/>
      <c r="H338" s="11"/>
      <c r="I338" s="13">
        <v>1</v>
      </c>
      <c r="J338" s="13">
        <v>1</v>
      </c>
      <c r="K338" s="14" t="str">
        <f>HYPERLINK("https://www.google.com/","Google")</f>
        <v>Google</v>
      </c>
      <c r="L338" s="13">
        <v>541</v>
      </c>
      <c r="M338" s="13">
        <v>890</v>
      </c>
      <c r="N338" s="13">
        <v>6</v>
      </c>
      <c r="O338" s="15"/>
      <c r="P338" s="6">
        <v>40893.659282407403</v>
      </c>
      <c r="Q338" s="18" t="s">
        <v>2311</v>
      </c>
      <c r="R338" s="19" t="s">
        <v>2312</v>
      </c>
      <c r="S338" s="12" t="s">
        <v>2313</v>
      </c>
      <c r="T338" s="11"/>
      <c r="U338" s="10" t="str">
        <f>HYPERLINK("https://pbs.twimg.com/profile_images/646739671414915074/r0faXJAu.jpg","View")</f>
        <v>View</v>
      </c>
    </row>
    <row r="339" spans="1:21" ht="40.799999999999997">
      <c r="A339" s="6">
        <v>43442.497395833328</v>
      </c>
      <c r="B339" s="7" t="str">
        <f>HYPERLINK("https://twitter.com/karlseta_2","@karlseta_2")</f>
        <v>@karlseta_2</v>
      </c>
      <c r="C339" s="8" t="s">
        <v>652</v>
      </c>
      <c r="D339" s="9" t="s">
        <v>653</v>
      </c>
      <c r="E339" s="10" t="str">
        <f>HYPERLINK("https://twitter.com/karlseta_2/status/1071357785697386496","1071357785697386496")</f>
        <v>1071357785697386496</v>
      </c>
      <c r="F339" s="12" t="s">
        <v>654</v>
      </c>
      <c r="G339" s="11"/>
      <c r="H339" s="11"/>
      <c r="I339" s="13">
        <v>3</v>
      </c>
      <c r="J339" s="13">
        <v>0</v>
      </c>
      <c r="K339" s="14" t="str">
        <f t="shared" ref="K339:K341" si="62">HYPERLINK("http://twitter.com/download/android","Twitter for Android")</f>
        <v>Twitter for Android</v>
      </c>
      <c r="L339" s="13">
        <v>1237</v>
      </c>
      <c r="M339" s="13">
        <v>1135</v>
      </c>
      <c r="N339" s="13">
        <v>0</v>
      </c>
      <c r="O339" s="15"/>
      <c r="P339" s="6">
        <v>43209.593599537038</v>
      </c>
      <c r="Q339" s="18" t="s">
        <v>655</v>
      </c>
      <c r="R339" s="19" t="s">
        <v>656</v>
      </c>
      <c r="S339" s="11"/>
      <c r="T339" s="11"/>
      <c r="U339" s="10" t="str">
        <f>HYPERLINK("https://pbs.twimg.com/profile_images/1057562733988798464/NVHu_6Bc.jpg","View")</f>
        <v>View</v>
      </c>
    </row>
    <row r="340" spans="1:21" ht="61.2">
      <c r="A340" s="6">
        <v>43442.496701388889</v>
      </c>
      <c r="B340" s="7" t="str">
        <f>HYPERLINK("https://twitter.com/VICENTE230356","@VICENTE230356")</f>
        <v>@VICENTE230356</v>
      </c>
      <c r="C340" s="8" t="s">
        <v>2319</v>
      </c>
      <c r="D340" s="9" t="s">
        <v>2320</v>
      </c>
      <c r="E340" s="10" t="str">
        <f>HYPERLINK("https://twitter.com/VICENTE230356/status/1071357533430968320","1071357533430968320")</f>
        <v>1071357533430968320</v>
      </c>
      <c r="F340" s="12" t="s">
        <v>2321</v>
      </c>
      <c r="G340" s="12" t="s">
        <v>2323</v>
      </c>
      <c r="H340" s="11"/>
      <c r="I340" s="13">
        <v>0</v>
      </c>
      <c r="J340" s="13">
        <v>0</v>
      </c>
      <c r="K340" s="14" t="str">
        <f t="shared" si="62"/>
        <v>Twitter for Android</v>
      </c>
      <c r="L340" s="13">
        <v>91</v>
      </c>
      <c r="M340" s="13">
        <v>277</v>
      </c>
      <c r="N340" s="13">
        <v>1</v>
      </c>
      <c r="O340" s="15"/>
      <c r="P340" s="6">
        <v>43008.828703703708</v>
      </c>
      <c r="Q340" s="18" t="s">
        <v>1005</v>
      </c>
      <c r="R340" s="19" t="s">
        <v>2326</v>
      </c>
      <c r="S340" s="11"/>
      <c r="T340" s="11"/>
      <c r="U340" s="10" t="str">
        <f>HYPERLINK("https://pbs.twimg.com/profile_images/1013104227114192896/fp0UMBlB.jpg","View")</f>
        <v>View</v>
      </c>
    </row>
    <row r="341" spans="1:21" ht="71.400000000000006">
      <c r="A341" s="6">
        <v>43442.49664351852</v>
      </c>
      <c r="B341" s="7" t="str">
        <f>HYPERLINK("https://twitter.com/ismaelmdiaz","@ismaelmdiaz")</f>
        <v>@ismaelmdiaz</v>
      </c>
      <c r="C341" s="8" t="s">
        <v>659</v>
      </c>
      <c r="D341" s="9" t="s">
        <v>660</v>
      </c>
      <c r="E341" s="10" t="str">
        <f>HYPERLINK("https://twitter.com/ismaelmdiaz/status/1071357512815906816","1071357512815906816")</f>
        <v>1071357512815906816</v>
      </c>
      <c r="F341" s="12" t="s">
        <v>661</v>
      </c>
      <c r="G341" s="12" t="s">
        <v>662</v>
      </c>
      <c r="H341" s="11"/>
      <c r="I341" s="13">
        <v>0</v>
      </c>
      <c r="J341" s="13">
        <v>0</v>
      </c>
      <c r="K341" s="14" t="str">
        <f t="shared" si="62"/>
        <v>Twitter for Android</v>
      </c>
      <c r="L341" s="13">
        <v>924</v>
      </c>
      <c r="M341" s="13">
        <v>1214</v>
      </c>
      <c r="N341" s="13">
        <v>20</v>
      </c>
      <c r="O341" s="15"/>
      <c r="P341" s="6">
        <v>41339.960763888885</v>
      </c>
      <c r="Q341" s="18" t="s">
        <v>665</v>
      </c>
      <c r="R341" s="19" t="s">
        <v>666</v>
      </c>
      <c r="S341" s="12" t="s">
        <v>667</v>
      </c>
      <c r="T341" s="11"/>
      <c r="U341" s="10" t="str">
        <f>HYPERLINK("https://pbs.twimg.com/profile_images/3349729410/cccef7ea1e291ee3572048cb20fb4b01.jpeg","View")</f>
        <v>View</v>
      </c>
    </row>
    <row r="342" spans="1:21" ht="51">
      <c r="A342" s="6">
        <v>43442.496249999997</v>
      </c>
      <c r="B342" s="7" t="str">
        <f>HYPERLINK("https://twitter.com/ramnropero","@ramnropero")</f>
        <v>@ramnropero</v>
      </c>
      <c r="C342" s="8" t="s">
        <v>669</v>
      </c>
      <c r="D342" s="9" t="s">
        <v>670</v>
      </c>
      <c r="E342" s="10" t="str">
        <f>HYPERLINK("https://twitter.com/ramnropero/status/1071357370092134400","1071357370092134400")</f>
        <v>1071357370092134400</v>
      </c>
      <c r="F342" s="11"/>
      <c r="G342" s="11"/>
      <c r="H342" s="11"/>
      <c r="I342" s="13">
        <v>0</v>
      </c>
      <c r="J342" s="13">
        <v>0</v>
      </c>
      <c r="K342" s="14" t="str">
        <f>HYPERLINK("http://twitter.com","Twitter Web Client")</f>
        <v>Twitter Web Client</v>
      </c>
      <c r="L342" s="13">
        <v>82</v>
      </c>
      <c r="M342" s="13">
        <v>148</v>
      </c>
      <c r="N342" s="13">
        <v>13</v>
      </c>
      <c r="O342" s="15"/>
      <c r="P342" s="6">
        <v>42524.718506944446</v>
      </c>
      <c r="Q342" s="11"/>
      <c r="R342" s="17"/>
      <c r="S342" s="11"/>
      <c r="T342" s="11"/>
      <c r="U342" s="16" t="s">
        <v>191</v>
      </c>
    </row>
    <row r="343" spans="1:21" ht="20.399999999999999">
      <c r="A343" s="6">
        <v>43442.494652777779</v>
      </c>
      <c r="B343" s="7" t="str">
        <f>HYPERLINK("https://twitter.com/pachienriquez1","@pachienriquez1")</f>
        <v>@pachienriquez1</v>
      </c>
      <c r="C343" s="8" t="s">
        <v>2333</v>
      </c>
      <c r="D343" s="9" t="s">
        <v>1524</v>
      </c>
      <c r="E343" s="10" t="str">
        <f>HYPERLINK("https://twitter.com/pachienriquez1/status/1071356789676015616","1071356789676015616")</f>
        <v>1071356789676015616</v>
      </c>
      <c r="F343" s="12" t="s">
        <v>1526</v>
      </c>
      <c r="G343" s="11"/>
      <c r="H343" s="11"/>
      <c r="I343" s="13">
        <v>0</v>
      </c>
      <c r="J343" s="13">
        <v>0</v>
      </c>
      <c r="K343" s="14" t="str">
        <f>HYPERLINK("http://twitter.com/download/android","Twitter for Android")</f>
        <v>Twitter for Android</v>
      </c>
      <c r="L343" s="13">
        <v>50</v>
      </c>
      <c r="M343" s="13">
        <v>46</v>
      </c>
      <c r="N343" s="13">
        <v>0</v>
      </c>
      <c r="O343" s="15"/>
      <c r="P343" s="6">
        <v>43132.75953703704</v>
      </c>
      <c r="Q343" s="18" t="s">
        <v>2335</v>
      </c>
      <c r="R343" s="19" t="s">
        <v>2336</v>
      </c>
      <c r="S343" s="11"/>
      <c r="T343" s="11"/>
      <c r="U343" s="10" t="str">
        <f>HYPERLINK("https://pbs.twimg.com/profile_images/1003931767244455936/hX3JgaMD.jpg","View")</f>
        <v>View</v>
      </c>
    </row>
    <row r="344" spans="1:21" ht="61.2">
      <c r="A344" s="6">
        <v>43442.493321759262</v>
      </c>
      <c r="B344" s="7" t="str">
        <f>HYPERLINK("https://twitter.com/SL_Brandoni","@SL_Brandoni")</f>
        <v>@SL_Brandoni</v>
      </c>
      <c r="C344" s="8" t="s">
        <v>281</v>
      </c>
      <c r="D344" s="9" t="s">
        <v>674</v>
      </c>
      <c r="E344" s="10" t="str">
        <f>HYPERLINK("https://twitter.com/SL_Brandoni/status/1071356310015410176","1071356310015410176")</f>
        <v>1071356310015410176</v>
      </c>
      <c r="F344" s="12" t="s">
        <v>675</v>
      </c>
      <c r="G344" s="11"/>
      <c r="H344" s="11"/>
      <c r="I344" s="13">
        <v>0</v>
      </c>
      <c r="J344" s="13">
        <v>1</v>
      </c>
      <c r="K344" s="14" t="str">
        <f>HYPERLINK("https://mobile.twitter.com","Twitter Lite")</f>
        <v>Twitter Lite</v>
      </c>
      <c r="L344" s="13">
        <v>132</v>
      </c>
      <c r="M344" s="13">
        <v>113</v>
      </c>
      <c r="N344" s="13">
        <v>1</v>
      </c>
      <c r="O344" s="15"/>
      <c r="P344" s="6">
        <v>42988.398043981477</v>
      </c>
      <c r="Q344" s="18" t="s">
        <v>286</v>
      </c>
      <c r="R344" s="19" t="s">
        <v>287</v>
      </c>
      <c r="S344" s="12" t="s">
        <v>288</v>
      </c>
      <c r="T344" s="11"/>
      <c r="U344" s="10" t="str">
        <f>HYPERLINK("https://pbs.twimg.com/profile_images/946756164171247616/DPQzga7u.jpg","View")</f>
        <v>View</v>
      </c>
    </row>
    <row r="345" spans="1:21" ht="30.6">
      <c r="A345" s="6">
        <v>43442.49318287037</v>
      </c>
      <c r="B345" s="7" t="str">
        <f>HYPERLINK("https://twitter.com/hugosocorro","@hugosocorro")</f>
        <v>@hugosocorro</v>
      </c>
      <c r="C345" s="8" t="s">
        <v>2339</v>
      </c>
      <c r="D345" s="9" t="s">
        <v>279</v>
      </c>
      <c r="E345" s="10" t="str">
        <f>HYPERLINK("https://twitter.com/hugosocorro/status/1071356256827465728","1071356256827465728")</f>
        <v>1071356256827465728</v>
      </c>
      <c r="F345" s="12" t="s">
        <v>280</v>
      </c>
      <c r="G345" s="11"/>
      <c r="H345" s="11"/>
      <c r="I345" s="13">
        <v>0</v>
      </c>
      <c r="J345" s="13">
        <v>1</v>
      </c>
      <c r="K345" s="14" t="str">
        <f>HYPERLINK("http://twitter.com","Twitter Web Client")</f>
        <v>Twitter Web Client</v>
      </c>
      <c r="L345" s="13">
        <v>9310</v>
      </c>
      <c r="M345" s="13">
        <v>6817</v>
      </c>
      <c r="N345" s="13">
        <v>75</v>
      </c>
      <c r="O345" s="15"/>
      <c r="P345" s="6">
        <v>40015.711805555555</v>
      </c>
      <c r="Q345" s="11"/>
      <c r="R345" s="19" t="s">
        <v>2340</v>
      </c>
      <c r="S345" s="12" t="s">
        <v>2342</v>
      </c>
      <c r="T345" s="11"/>
      <c r="U345" s="10" t="str">
        <f>HYPERLINK("https://pbs.twimg.com/profile_images/887276649959522304/YYVbHNXZ.jpg","View")</f>
        <v>View</v>
      </c>
    </row>
    <row r="346" spans="1:21" ht="40.799999999999997">
      <c r="A346" s="6">
        <v>43442.491886574076</v>
      </c>
      <c r="B346" s="7" t="str">
        <f>HYPERLINK("https://twitter.com/FernandoSUsera","@FernandoSUsera")</f>
        <v>@FernandoSUsera</v>
      </c>
      <c r="C346" s="8" t="s">
        <v>676</v>
      </c>
      <c r="D346" s="9" t="s">
        <v>677</v>
      </c>
      <c r="E346" s="10" t="str">
        <f>HYPERLINK("https://twitter.com/FernandoSUsera/status/1071355788998963202","1071355788998963202")</f>
        <v>1071355788998963202</v>
      </c>
      <c r="F346" s="12" t="s">
        <v>678</v>
      </c>
      <c r="G346" s="12" t="s">
        <v>679</v>
      </c>
      <c r="H346" s="11"/>
      <c r="I346" s="13">
        <v>0</v>
      </c>
      <c r="J346" s="13">
        <v>2</v>
      </c>
      <c r="K346" s="14" t="str">
        <f t="shared" ref="K346:K348" si="63">HYPERLINK("http://twitter.com/download/android","Twitter for Android")</f>
        <v>Twitter for Android</v>
      </c>
      <c r="L346" s="13">
        <v>72</v>
      </c>
      <c r="M346" s="13">
        <v>222</v>
      </c>
      <c r="N346" s="13">
        <v>2</v>
      </c>
      <c r="O346" s="15"/>
      <c r="P346" s="6">
        <v>40827.905428240745</v>
      </c>
      <c r="Q346" s="18" t="s">
        <v>680</v>
      </c>
      <c r="R346" s="19" t="s">
        <v>681</v>
      </c>
      <c r="S346" s="11"/>
      <c r="T346" s="11"/>
      <c r="U346" s="10" t="str">
        <f>HYPERLINK("https://pbs.twimg.com/profile_images/914052022374158336/Pg0xLcvi.jpg","View")</f>
        <v>View</v>
      </c>
    </row>
    <row r="347" spans="1:21" ht="13.2">
      <c r="A347" s="6">
        <v>43442.490405092598</v>
      </c>
      <c r="B347" s="7" t="str">
        <f>HYPERLINK("https://twitter.com/hopedsy","@hopedsy")</f>
        <v>@hopedsy</v>
      </c>
      <c r="C347" s="8" t="s">
        <v>2351</v>
      </c>
      <c r="D347" s="9" t="s">
        <v>612</v>
      </c>
      <c r="E347" s="10" t="str">
        <f>HYPERLINK("https://twitter.com/hopedsy/status/1071355251020701697","1071355251020701697")</f>
        <v>1071355251020701697</v>
      </c>
      <c r="F347" s="12" t="s">
        <v>49</v>
      </c>
      <c r="G347" s="11"/>
      <c r="H347" s="11"/>
      <c r="I347" s="13">
        <v>0</v>
      </c>
      <c r="J347" s="13">
        <v>0</v>
      </c>
      <c r="K347" s="14" t="str">
        <f t="shared" si="63"/>
        <v>Twitter for Android</v>
      </c>
      <c r="L347" s="13">
        <v>407</v>
      </c>
      <c r="M347" s="13">
        <v>569</v>
      </c>
      <c r="N347" s="13">
        <v>15</v>
      </c>
      <c r="O347" s="15"/>
      <c r="P347" s="6">
        <v>42568.50172453704</v>
      </c>
      <c r="Q347" s="11"/>
      <c r="R347" s="19" t="s">
        <v>2355</v>
      </c>
      <c r="S347" s="11"/>
      <c r="T347" s="11"/>
      <c r="U347" s="10" t="str">
        <f>HYPERLINK("https://pbs.twimg.com/profile_images/814237291229147136/bJPBbvoq.jpg","View")</f>
        <v>View</v>
      </c>
    </row>
    <row r="348" spans="1:21" ht="20.399999999999999">
      <c r="A348" s="6">
        <v>43442.489699074074</v>
      </c>
      <c r="B348" s="7" t="str">
        <f>HYPERLINK("https://twitter.com/lolapenalver","@lolapenalver")</f>
        <v>@lolapenalver</v>
      </c>
      <c r="C348" s="8" t="s">
        <v>2359</v>
      </c>
      <c r="D348" s="9" t="s">
        <v>612</v>
      </c>
      <c r="E348" s="10" t="str">
        <f>HYPERLINK("https://twitter.com/lolapenalver/status/1071354996422262784","1071354996422262784")</f>
        <v>1071354996422262784</v>
      </c>
      <c r="F348" s="12" t="s">
        <v>49</v>
      </c>
      <c r="G348" s="11"/>
      <c r="H348" s="11"/>
      <c r="I348" s="13">
        <v>1</v>
      </c>
      <c r="J348" s="13">
        <v>0</v>
      </c>
      <c r="K348" s="14" t="str">
        <f t="shared" si="63"/>
        <v>Twitter for Android</v>
      </c>
      <c r="L348" s="13">
        <v>742</v>
      </c>
      <c r="M348" s="13">
        <v>670</v>
      </c>
      <c r="N348" s="13">
        <v>8</v>
      </c>
      <c r="O348" s="15"/>
      <c r="P348" s="6">
        <v>41173.766840277778</v>
      </c>
      <c r="Q348" s="18" t="s">
        <v>2363</v>
      </c>
      <c r="R348" s="19" t="s">
        <v>2364</v>
      </c>
      <c r="S348" s="11"/>
      <c r="T348" s="11"/>
      <c r="U348" s="10" t="str">
        <f>HYPERLINK("https://pbs.twimg.com/profile_images/799717696942149632/B1jLO1xD.jpg","View")</f>
        <v>View</v>
      </c>
    </row>
    <row r="349" spans="1:21" ht="40.799999999999997">
      <c r="A349" s="6">
        <v>43442.48909722222</v>
      </c>
      <c r="B349" s="7" t="str">
        <f>HYPERLINK("https://twitter.com/parrado46","@parrado46")</f>
        <v>@parrado46</v>
      </c>
      <c r="C349" s="8" t="s">
        <v>684</v>
      </c>
      <c r="D349" s="9" t="s">
        <v>685</v>
      </c>
      <c r="E349" s="10" t="str">
        <f>HYPERLINK("https://twitter.com/parrado46/status/1071354778456915968","1071354778456915968")</f>
        <v>1071354778456915968</v>
      </c>
      <c r="F349" s="18" t="s">
        <v>686</v>
      </c>
      <c r="G349" s="11"/>
      <c r="H349" s="11"/>
      <c r="I349" s="13">
        <v>0</v>
      </c>
      <c r="J349" s="13">
        <v>0</v>
      </c>
      <c r="K349" s="14" t="str">
        <f t="shared" ref="K349:K350" si="64">HYPERLINK("http://twitter.com/download/iphone","Twitter for iPhone")</f>
        <v>Twitter for iPhone</v>
      </c>
      <c r="L349" s="13">
        <v>86</v>
      </c>
      <c r="M349" s="13">
        <v>308</v>
      </c>
      <c r="N349" s="13">
        <v>0</v>
      </c>
      <c r="O349" s="15"/>
      <c r="P349" s="6">
        <v>41712.867245370369</v>
      </c>
      <c r="Q349" s="11"/>
      <c r="R349" s="19" t="s">
        <v>688</v>
      </c>
      <c r="S349" s="11"/>
      <c r="T349" s="11"/>
      <c r="U349" s="10" t="str">
        <f>HYPERLINK("https://pbs.twimg.com/profile_images/1047376665649799168/KNUtFOla.jpg","View")</f>
        <v>View</v>
      </c>
    </row>
    <row r="350" spans="1:21" ht="30.6">
      <c r="A350" s="6">
        <v>43442.489085648151</v>
      </c>
      <c r="B350" s="7" t="str">
        <f>HYPERLINK("https://twitter.com/maridq","@maridq")</f>
        <v>@maridq</v>
      </c>
      <c r="C350" s="8" t="s">
        <v>2367</v>
      </c>
      <c r="D350" s="9" t="s">
        <v>1152</v>
      </c>
      <c r="E350" s="10" t="str">
        <f>HYPERLINK("https://twitter.com/maridq/status/1071354773620838400","1071354773620838400")</f>
        <v>1071354773620838400</v>
      </c>
      <c r="F350" s="12" t="s">
        <v>2369</v>
      </c>
      <c r="G350" s="11"/>
      <c r="H350" s="11"/>
      <c r="I350" s="13">
        <v>1</v>
      </c>
      <c r="J350" s="13">
        <v>1</v>
      </c>
      <c r="K350" s="14" t="str">
        <f t="shared" si="64"/>
        <v>Twitter for iPhone</v>
      </c>
      <c r="L350" s="13">
        <v>870</v>
      </c>
      <c r="M350" s="13">
        <v>949</v>
      </c>
      <c r="N350" s="13">
        <v>15</v>
      </c>
      <c r="O350" s="15"/>
      <c r="P350" s="6">
        <v>40129.016851851848</v>
      </c>
      <c r="Q350" s="18" t="s">
        <v>2370</v>
      </c>
      <c r="R350" s="17"/>
      <c r="S350" s="11"/>
      <c r="T350" s="11"/>
      <c r="U350" s="10" t="str">
        <f>HYPERLINK("https://pbs.twimg.com/profile_images/477776602798260224/bJzxPCBt.jpeg","View")</f>
        <v>View</v>
      </c>
    </row>
    <row r="351" spans="1:21" ht="20.399999999999999">
      <c r="A351" s="6">
        <v>43442.488229166665</v>
      </c>
      <c r="B351" s="7" t="str">
        <f>HYPERLINK("https://twitter.com/franciscoasis77","@franciscoasis77")</f>
        <v>@franciscoasis77</v>
      </c>
      <c r="C351" s="8" t="s">
        <v>2373</v>
      </c>
      <c r="D351" s="9" t="s">
        <v>2374</v>
      </c>
      <c r="E351" s="10" t="str">
        <f>HYPERLINK("https://twitter.com/franciscoasis77/status/1071354462520926208","1071354462520926208")</f>
        <v>1071354462520926208</v>
      </c>
      <c r="F351" s="12" t="s">
        <v>2377</v>
      </c>
      <c r="G351" s="11"/>
      <c r="H351" s="11"/>
      <c r="I351" s="13">
        <v>0</v>
      </c>
      <c r="J351" s="13">
        <v>0</v>
      </c>
      <c r="K351" s="14" t="str">
        <f>HYPERLINK("http://www.facebook.com/twitter","Facebook")</f>
        <v>Facebook</v>
      </c>
      <c r="L351" s="13">
        <v>28</v>
      </c>
      <c r="M351" s="13">
        <v>486</v>
      </c>
      <c r="N351" s="13">
        <v>0</v>
      </c>
      <c r="O351" s="15"/>
      <c r="P351" s="6">
        <v>42071.882997685185</v>
      </c>
      <c r="Q351" s="18" t="s">
        <v>2378</v>
      </c>
      <c r="R351" s="19" t="s">
        <v>2380</v>
      </c>
      <c r="S351" s="11"/>
      <c r="T351" s="11"/>
      <c r="U351" s="10" t="str">
        <f>HYPERLINK("https://pbs.twimg.com/profile_images/574664881649012736/VJmqcqig.jpeg","View")</f>
        <v>View</v>
      </c>
    </row>
    <row r="352" spans="1:21" ht="81.599999999999994">
      <c r="A352" s="6">
        <v>43442.487476851849</v>
      </c>
      <c r="B352" s="7" t="str">
        <f>HYPERLINK("https://twitter.com/glez_casajuana","@glez_casajuana")</f>
        <v>@glez_casajuana</v>
      </c>
      <c r="C352" s="8" t="s">
        <v>691</v>
      </c>
      <c r="D352" s="9" t="s">
        <v>692</v>
      </c>
      <c r="E352" s="10" t="str">
        <f>HYPERLINK("https://twitter.com/glez_casajuana/status/1071354191518556163","1071354191518556163")</f>
        <v>1071354191518556163</v>
      </c>
      <c r="F352" s="12" t="s">
        <v>306</v>
      </c>
      <c r="G352" s="11"/>
      <c r="H352" s="11"/>
      <c r="I352" s="13">
        <v>1</v>
      </c>
      <c r="J352" s="13">
        <v>0</v>
      </c>
      <c r="K352" s="14" t="str">
        <f t="shared" ref="K352:K354" si="65">HYPERLINK("http://twitter.com/download/android","Twitter for Android")</f>
        <v>Twitter for Android</v>
      </c>
      <c r="L352" s="13">
        <v>1475</v>
      </c>
      <c r="M352" s="13">
        <v>798</v>
      </c>
      <c r="N352" s="13">
        <v>13</v>
      </c>
      <c r="O352" s="15"/>
      <c r="P352" s="6">
        <v>41434.804699074077</v>
      </c>
      <c r="Q352" s="18" t="s">
        <v>695</v>
      </c>
      <c r="R352" s="19" t="s">
        <v>696</v>
      </c>
      <c r="S352" s="11"/>
      <c r="T352" s="11"/>
      <c r="U352" s="10" t="str">
        <f>HYPERLINK("https://pbs.twimg.com/profile_images/681085791154601984/Zeh0UOTx.jpg","View")</f>
        <v>View</v>
      </c>
    </row>
    <row r="353" spans="1:21" ht="30.6">
      <c r="A353" s="6">
        <v>43442.487326388888</v>
      </c>
      <c r="B353" s="7" t="str">
        <f>HYPERLINK("https://twitter.com/_rosadehierro_","@_rosadehierro_")</f>
        <v>@_rosadehierro_</v>
      </c>
      <c r="C353" s="8" t="s">
        <v>2390</v>
      </c>
      <c r="D353" s="9" t="s">
        <v>2391</v>
      </c>
      <c r="E353" s="10" t="str">
        <f>HYPERLINK("https://twitter.com/_rosadehierro_/status/1071354134501212160","1071354134501212160")</f>
        <v>1071354134501212160</v>
      </c>
      <c r="F353" s="18" t="s">
        <v>2392</v>
      </c>
      <c r="G353" s="11"/>
      <c r="H353" s="11"/>
      <c r="I353" s="13">
        <v>0</v>
      </c>
      <c r="J353" s="13">
        <v>0</v>
      </c>
      <c r="K353" s="14" t="str">
        <f t="shared" si="65"/>
        <v>Twitter for Android</v>
      </c>
      <c r="L353" s="13">
        <v>653</v>
      </c>
      <c r="M353" s="13">
        <v>1722</v>
      </c>
      <c r="N353" s="13">
        <v>4</v>
      </c>
      <c r="O353" s="15"/>
      <c r="P353" s="6">
        <v>41332.663495370369</v>
      </c>
      <c r="Q353" s="18" t="s">
        <v>2394</v>
      </c>
      <c r="R353" s="19" t="s">
        <v>2395</v>
      </c>
      <c r="S353" s="11"/>
      <c r="T353" s="11"/>
      <c r="U353" s="10" t="str">
        <f>HYPERLINK("https://pbs.twimg.com/profile_images/1069927033180962816/j4Tb3Yu8.jpg","View")</f>
        <v>View</v>
      </c>
    </row>
    <row r="354" spans="1:21" ht="51">
      <c r="A354" s="6">
        <v>43442.486909722225</v>
      </c>
      <c r="B354" s="7" t="str">
        <f>HYPERLINK("https://twitter.com/elpasado1939","@elpasado1939")</f>
        <v>@elpasado1939</v>
      </c>
      <c r="C354" s="8" t="s">
        <v>2397</v>
      </c>
      <c r="D354" s="9" t="s">
        <v>2398</v>
      </c>
      <c r="E354" s="10" t="str">
        <f>HYPERLINK("https://twitter.com/elpasado1939/status/1071353983917350912","1071353983917350912")</f>
        <v>1071353983917350912</v>
      </c>
      <c r="F354" s="11"/>
      <c r="G354" s="11"/>
      <c r="H354" s="11"/>
      <c r="I354" s="13">
        <v>0</v>
      </c>
      <c r="J354" s="13">
        <v>0</v>
      </c>
      <c r="K354" s="14" t="str">
        <f t="shared" si="65"/>
        <v>Twitter for Android</v>
      </c>
      <c r="L354" s="13">
        <v>180</v>
      </c>
      <c r="M354" s="13">
        <v>370</v>
      </c>
      <c r="N354" s="13">
        <v>1</v>
      </c>
      <c r="O354" s="15"/>
      <c r="P354" s="6">
        <v>43035.708101851851</v>
      </c>
      <c r="Q354" s="18" t="s">
        <v>2402</v>
      </c>
      <c r="R354" s="19" t="s">
        <v>2403</v>
      </c>
      <c r="S354" s="11"/>
      <c r="T354" s="11"/>
      <c r="U354" s="10" t="str">
        <f>HYPERLINK("https://pbs.twimg.com/profile_images/923932131008671750/ktg3aLPN.jpg","View")</f>
        <v>View</v>
      </c>
    </row>
    <row r="355" spans="1:21" ht="51">
      <c r="A355" s="6">
        <v>43442.485868055555</v>
      </c>
      <c r="B355" s="7" t="str">
        <f>HYPERLINK("https://twitter.com/carlosbernuy","@carlosbernuy")</f>
        <v>@carlosbernuy</v>
      </c>
      <c r="C355" s="8" t="s">
        <v>698</v>
      </c>
      <c r="D355" s="9" t="s">
        <v>699</v>
      </c>
      <c r="E355" s="10" t="str">
        <f>HYPERLINK("https://twitter.com/carlosbernuy/status/1071353607872761857","1071353607872761857")</f>
        <v>1071353607872761857</v>
      </c>
      <c r="F355" s="11"/>
      <c r="G355" s="11"/>
      <c r="H355" s="11"/>
      <c r="I355" s="13">
        <v>0</v>
      </c>
      <c r="J355" s="13">
        <v>0</v>
      </c>
      <c r="K355" s="14" t="str">
        <f>HYPERLINK("http://twitter.com","Twitter Web Client")</f>
        <v>Twitter Web Client</v>
      </c>
      <c r="L355" s="13">
        <v>431</v>
      </c>
      <c r="M355" s="13">
        <v>647</v>
      </c>
      <c r="N355" s="13">
        <v>22</v>
      </c>
      <c r="O355" s="15"/>
      <c r="P355" s="6">
        <v>40311.532118055555</v>
      </c>
      <c r="Q355" s="18" t="s">
        <v>702</v>
      </c>
      <c r="R355" s="19" t="s">
        <v>703</v>
      </c>
      <c r="S355" s="12" t="s">
        <v>704</v>
      </c>
      <c r="T355" s="11"/>
      <c r="U355" s="10" t="str">
        <f>HYPERLINK("https://pbs.twimg.com/profile_images/807917819920809985/786gJySp.jpg","View")</f>
        <v>View</v>
      </c>
    </row>
    <row r="356" spans="1:21" ht="51">
      <c r="A356" s="6">
        <v>43442.485312500001</v>
      </c>
      <c r="B356" s="7" t="str">
        <f>HYPERLINK("https://twitter.com/master_petri","@master_petri")</f>
        <v>@master_petri</v>
      </c>
      <c r="C356" s="8" t="s">
        <v>2406</v>
      </c>
      <c r="D356" s="9" t="s">
        <v>2407</v>
      </c>
      <c r="E356" s="10" t="str">
        <f>HYPERLINK("https://twitter.com/master_petri/status/1071353407699632128","1071353407699632128")</f>
        <v>1071353407699632128</v>
      </c>
      <c r="F356" s="18" t="s">
        <v>2408</v>
      </c>
      <c r="G356" s="12" t="s">
        <v>2409</v>
      </c>
      <c r="H356" s="11"/>
      <c r="I356" s="13">
        <v>0</v>
      </c>
      <c r="J356" s="13">
        <v>0</v>
      </c>
      <c r="K356" s="14" t="str">
        <f t="shared" ref="K356:K357" si="66">HYPERLINK("http://twitter.com/download/iphone","Twitter for iPhone")</f>
        <v>Twitter for iPhone</v>
      </c>
      <c r="L356" s="13">
        <v>1346</v>
      </c>
      <c r="M356" s="13">
        <v>1243</v>
      </c>
      <c r="N356" s="13">
        <v>20</v>
      </c>
      <c r="O356" s="15"/>
      <c r="P356" s="6">
        <v>40212.885706018518</v>
      </c>
      <c r="Q356" s="18" t="s">
        <v>2412</v>
      </c>
      <c r="R356" s="19" t="s">
        <v>2413</v>
      </c>
      <c r="S356" s="11"/>
      <c r="T356" s="11"/>
      <c r="U356" s="10" t="str">
        <f>HYPERLINK("https://pbs.twimg.com/profile_images/606911318277423104/lHdlYkj1.jpg","View")</f>
        <v>View</v>
      </c>
    </row>
    <row r="357" spans="1:21" ht="51">
      <c r="A357" s="6">
        <v>43442.485150462962</v>
      </c>
      <c r="B357" s="7" t="str">
        <f>HYPERLINK("https://twitter.com/YoyoStavrosEgea","@YoyoStavrosEgea")</f>
        <v>@YoyoStavrosEgea</v>
      </c>
      <c r="C357" s="8" t="s">
        <v>708</v>
      </c>
      <c r="D357" s="9" t="s">
        <v>709</v>
      </c>
      <c r="E357" s="10" t="str">
        <f>HYPERLINK("https://twitter.com/YoyoStavrosEgea/status/1071353348350197760","1071353348350197760")</f>
        <v>1071353348350197760</v>
      </c>
      <c r="F357" s="12" t="s">
        <v>710</v>
      </c>
      <c r="G357" s="12" t="s">
        <v>713</v>
      </c>
      <c r="H357" s="11"/>
      <c r="I357" s="13">
        <v>0</v>
      </c>
      <c r="J357" s="13">
        <v>0</v>
      </c>
      <c r="K357" s="14" t="str">
        <f t="shared" si="66"/>
        <v>Twitter for iPhone</v>
      </c>
      <c r="L357" s="13">
        <v>387</v>
      </c>
      <c r="M357" s="13">
        <v>901</v>
      </c>
      <c r="N357" s="13">
        <v>9</v>
      </c>
      <c r="O357" s="15"/>
      <c r="P357" s="6">
        <v>40577.400555555556</v>
      </c>
      <c r="Q357" s="11"/>
      <c r="R357" s="19" t="s">
        <v>716</v>
      </c>
      <c r="S357" s="11"/>
      <c r="T357" s="11"/>
      <c r="U357" s="10" t="str">
        <f>HYPERLINK("https://pbs.twimg.com/profile_images/1030133827274981377/aexxKSgH.jpg","View")</f>
        <v>View</v>
      </c>
    </row>
    <row r="358" spans="1:21" ht="40.799999999999997">
      <c r="A358" s="6">
        <v>43442.48237268519</v>
      </c>
      <c r="B358" s="7" t="str">
        <f>HYPERLINK("https://twitter.com/Mctroffy","@Mctroffy")</f>
        <v>@Mctroffy</v>
      </c>
      <c r="C358" s="8" t="s">
        <v>2418</v>
      </c>
      <c r="D358" s="9" t="s">
        <v>2420</v>
      </c>
      <c r="E358" s="10" t="str">
        <f>HYPERLINK("https://twitter.com/Mctroffy/status/1071352341041963008","1071352341041963008")</f>
        <v>1071352341041963008</v>
      </c>
      <c r="F358" s="12" t="s">
        <v>49</v>
      </c>
      <c r="G358" s="11"/>
      <c r="H358" s="11"/>
      <c r="I358" s="13">
        <v>0</v>
      </c>
      <c r="J358" s="13">
        <v>0</v>
      </c>
      <c r="K358" s="14" t="str">
        <f>HYPERLINK("http://twitter.com/download/android","Twitter for Android")</f>
        <v>Twitter for Android</v>
      </c>
      <c r="L358" s="13">
        <v>22</v>
      </c>
      <c r="M358" s="13">
        <v>71</v>
      </c>
      <c r="N358" s="13">
        <v>0</v>
      </c>
      <c r="O358" s="15"/>
      <c r="P358" s="6">
        <v>41318.865856481483</v>
      </c>
      <c r="Q358" s="11"/>
      <c r="R358" s="17"/>
      <c r="S358" s="11"/>
      <c r="T358" s="11"/>
      <c r="U358" s="10" t="str">
        <f>HYPERLINK("https://pbs.twimg.com/profile_images/620272768542748672/ahxJmWeP.jpg","View")</f>
        <v>View</v>
      </c>
    </row>
    <row r="359" spans="1:21" ht="91.8">
      <c r="A359" s="6">
        <v>43442.482025462959</v>
      </c>
      <c r="B359" s="7" t="str">
        <f>HYPERLINK("https://twitter.com/Mickey1234Mouse","@Mickey1234Mouse")</f>
        <v>@Mickey1234Mouse</v>
      </c>
      <c r="C359" s="8" t="s">
        <v>2424</v>
      </c>
      <c r="D359" s="9" t="s">
        <v>2425</v>
      </c>
      <c r="E359" s="10" t="str">
        <f>HYPERLINK("https://twitter.com/Mickey1234Mouse/status/1071352215623880705","1071352215623880705")</f>
        <v>1071352215623880705</v>
      </c>
      <c r="F359" s="18" t="s">
        <v>348</v>
      </c>
      <c r="G359" s="11"/>
      <c r="H359" s="11"/>
      <c r="I359" s="13">
        <v>0</v>
      </c>
      <c r="J359" s="13">
        <v>0</v>
      </c>
      <c r="K359" s="14" t="str">
        <f>HYPERLINK("http://twitter.com/#!/download/ipad","Twitter for iPad")</f>
        <v>Twitter for iPad</v>
      </c>
      <c r="L359" s="13">
        <v>168</v>
      </c>
      <c r="M359" s="13">
        <v>738</v>
      </c>
      <c r="N359" s="13">
        <v>0</v>
      </c>
      <c r="O359" s="15"/>
      <c r="P359" s="6">
        <v>42559.543807870374</v>
      </c>
      <c r="Q359" s="18" t="s">
        <v>2426</v>
      </c>
      <c r="R359" s="19" t="s">
        <v>2427</v>
      </c>
      <c r="S359" s="11"/>
      <c r="T359" s="11"/>
      <c r="U359" s="10" t="str">
        <f>HYPERLINK("https://pbs.twimg.com/profile_images/924439030909030401/cGCy7v2u.jpg","View")</f>
        <v>View</v>
      </c>
    </row>
    <row r="360" spans="1:21" ht="30.6">
      <c r="A360" s="6">
        <v>43442.481504629628</v>
      </c>
      <c r="B360" s="7" t="str">
        <f>HYPERLINK("https://twitter.com/defenemvalencia","@defenemvalencia")</f>
        <v>@defenemvalencia</v>
      </c>
      <c r="C360" s="8" t="s">
        <v>2431</v>
      </c>
      <c r="D360" s="9" t="s">
        <v>2432</v>
      </c>
      <c r="E360" s="10" t="str">
        <f>HYPERLINK("https://twitter.com/defenemvalencia/status/1071352027169611776","1071352027169611776")</f>
        <v>1071352027169611776</v>
      </c>
      <c r="F360" s="18" t="s">
        <v>2392</v>
      </c>
      <c r="G360" s="11"/>
      <c r="H360" s="11"/>
      <c r="I360" s="13">
        <v>0</v>
      </c>
      <c r="J360" s="13">
        <v>0</v>
      </c>
      <c r="K360" s="14" t="str">
        <f>HYPERLINK("http://www.facebook.com/twitter","Facebook")</f>
        <v>Facebook</v>
      </c>
      <c r="L360" s="13">
        <v>428</v>
      </c>
      <c r="M360" s="13">
        <v>353</v>
      </c>
      <c r="N360" s="13">
        <v>4</v>
      </c>
      <c r="O360" s="15"/>
      <c r="P360" s="6">
        <v>41943.394594907411</v>
      </c>
      <c r="Q360" s="18" t="s">
        <v>467</v>
      </c>
      <c r="R360" s="17"/>
      <c r="S360" s="12" t="s">
        <v>2433</v>
      </c>
      <c r="T360" s="11"/>
      <c r="U360" s="10" t="str">
        <f>HYPERLINK("https://pbs.twimg.com/profile_images/911295114097684480/GWg45viE.jpg","View")</f>
        <v>View</v>
      </c>
    </row>
    <row r="361" spans="1:21" ht="20.399999999999999">
      <c r="A361" s="6">
        <v>43442.480937500004</v>
      </c>
      <c r="B361" s="7" t="str">
        <f>HYPERLINK("https://twitter.com/asanleo","@asanleo")</f>
        <v>@asanleo</v>
      </c>
      <c r="C361" s="8" t="s">
        <v>718</v>
      </c>
      <c r="D361" s="9" t="s">
        <v>719</v>
      </c>
      <c r="E361" s="10" t="str">
        <f>HYPERLINK("https://twitter.com/asanleo/status/1071351820218441728","1071351820218441728")</f>
        <v>1071351820218441728</v>
      </c>
      <c r="F361" s="12" t="s">
        <v>722</v>
      </c>
      <c r="G361" s="12" t="s">
        <v>723</v>
      </c>
      <c r="H361" s="11"/>
      <c r="I361" s="13">
        <v>1</v>
      </c>
      <c r="J361" s="13">
        <v>1</v>
      </c>
      <c r="K361" s="14" t="str">
        <f>HYPERLINK("http://twitter.com/download/iphone","Twitter for iPhone")</f>
        <v>Twitter for iPhone</v>
      </c>
      <c r="L361" s="13">
        <v>3517</v>
      </c>
      <c r="M361" s="13">
        <v>1697</v>
      </c>
      <c r="N361" s="13">
        <v>191</v>
      </c>
      <c r="O361" s="15"/>
      <c r="P361" s="6">
        <v>40235.434560185182</v>
      </c>
      <c r="Q361" s="11"/>
      <c r="R361" s="19" t="s">
        <v>724</v>
      </c>
      <c r="S361" s="12" t="s">
        <v>725</v>
      </c>
      <c r="T361" s="11"/>
      <c r="U361" s="10" t="str">
        <f>HYPERLINK("https://pbs.twimg.com/profile_images/378800000847619821/547e9509ecfd07cbd93f5b8cd7b7e681.jpeg","View")</f>
        <v>View</v>
      </c>
    </row>
    <row r="362" spans="1:21" ht="13.2">
      <c r="A362" s="6">
        <v>43442.479409722218</v>
      </c>
      <c r="B362" s="7" t="str">
        <f>HYPERLINK("https://twitter.com/MarPodemos","@MarPodemos")</f>
        <v>@MarPodemos</v>
      </c>
      <c r="C362" s="8" t="s">
        <v>2442</v>
      </c>
      <c r="D362" s="9" t="s">
        <v>1357</v>
      </c>
      <c r="E362" s="10" t="str">
        <f>HYPERLINK("https://twitter.com/MarPodemos/status/1071351267396644864","1071351267396644864")</f>
        <v>1071351267396644864</v>
      </c>
      <c r="F362" s="12" t="s">
        <v>49</v>
      </c>
      <c r="G362" s="11"/>
      <c r="H362" s="11"/>
      <c r="I362" s="13">
        <v>0</v>
      </c>
      <c r="J362" s="13">
        <v>0</v>
      </c>
      <c r="K362" s="14" t="str">
        <f>HYPERLINK("http://www.facebook.com/twitter","Facebook")</f>
        <v>Facebook</v>
      </c>
      <c r="L362" s="13">
        <v>28</v>
      </c>
      <c r="M362" s="13">
        <v>61</v>
      </c>
      <c r="N362" s="13">
        <v>0</v>
      </c>
      <c r="O362" s="15"/>
      <c r="P362" s="6">
        <v>43261.709386574075</v>
      </c>
      <c r="Q362" s="11"/>
      <c r="R362" s="17"/>
      <c r="S362" s="11"/>
      <c r="T362" s="11"/>
      <c r="U362" s="10" t="str">
        <f>HYPERLINK("https://pbs.twimg.com/profile_images/1006118058975485952/RBSY903Q.jpg","View")</f>
        <v>View</v>
      </c>
    </row>
    <row r="363" spans="1:21" ht="61.2">
      <c r="A363" s="6">
        <v>43442.478854166664</v>
      </c>
      <c r="B363" s="7" t="str">
        <f>HYPERLINK("https://twitter.com/FJDomingo","@FJDomingo")</f>
        <v>@FJDomingo</v>
      </c>
      <c r="C363" s="8" t="s">
        <v>2445</v>
      </c>
      <c r="D363" s="9" t="s">
        <v>2446</v>
      </c>
      <c r="E363" s="10" t="str">
        <f>HYPERLINK("https://twitter.com/FJDomingo/status/1071351067026300928","1071351067026300928")</f>
        <v>1071351067026300928</v>
      </c>
      <c r="F363" s="18" t="s">
        <v>2447</v>
      </c>
      <c r="G363" s="11"/>
      <c r="H363" s="11"/>
      <c r="I363" s="13">
        <v>0</v>
      </c>
      <c r="J363" s="13">
        <v>0</v>
      </c>
      <c r="K363" s="14" t="str">
        <f>HYPERLINK("http://twitter.com","Twitter Web Client")</f>
        <v>Twitter Web Client</v>
      </c>
      <c r="L363" s="13">
        <v>292</v>
      </c>
      <c r="M363" s="13">
        <v>542</v>
      </c>
      <c r="N363" s="13">
        <v>8</v>
      </c>
      <c r="O363" s="15"/>
      <c r="P363" s="6">
        <v>40803.64130787037</v>
      </c>
      <c r="Q363" s="18" t="s">
        <v>42</v>
      </c>
      <c r="R363" s="19" t="s">
        <v>2450</v>
      </c>
      <c r="S363" s="11"/>
      <c r="T363" s="11"/>
      <c r="U363" s="10" t="str">
        <f>HYPERLINK("https://pbs.twimg.com/profile_images/707249729319669761/qWqiBM4j.jpg","View")</f>
        <v>View</v>
      </c>
    </row>
    <row r="364" spans="1:21" ht="20.399999999999999">
      <c r="A364" s="6">
        <v>43442.478634259256</v>
      </c>
      <c r="B364" s="7" t="str">
        <f>HYPERLINK("https://twitter.com/susanadeguardia","@susanadeguardia")</f>
        <v>@susanadeguardia</v>
      </c>
      <c r="C364" s="8" t="s">
        <v>2452</v>
      </c>
      <c r="D364" s="9" t="s">
        <v>2453</v>
      </c>
      <c r="E364" s="10" t="str">
        <f>HYPERLINK("https://twitter.com/susanadeguardia/status/1071350984792817670","1071350984792817670")</f>
        <v>1071350984792817670</v>
      </c>
      <c r="F364" s="12" t="s">
        <v>2454</v>
      </c>
      <c r="G364" s="11"/>
      <c r="H364" s="11"/>
      <c r="I364" s="13">
        <v>0</v>
      </c>
      <c r="J364" s="13">
        <v>0</v>
      </c>
      <c r="K364" s="14" t="str">
        <f>HYPERLINK("https://www.google.com/","Google")</f>
        <v>Google</v>
      </c>
      <c r="L364" s="13">
        <v>84</v>
      </c>
      <c r="M364" s="13">
        <v>212</v>
      </c>
      <c r="N364" s="13">
        <v>1</v>
      </c>
      <c r="O364" s="15"/>
      <c r="P364" s="6">
        <v>40277.017893518518</v>
      </c>
      <c r="Q364" s="18" t="s">
        <v>2456</v>
      </c>
      <c r="R364" s="17"/>
      <c r="S364" s="11"/>
      <c r="T364" s="11"/>
      <c r="U364" s="10" t="str">
        <f>HYPERLINK("https://pbs.twimg.com/profile_images/1294873227/FOTO_RETRATO_YO.jpg","View")</f>
        <v>View</v>
      </c>
    </row>
    <row r="365" spans="1:21" ht="51">
      <c r="A365" s="6">
        <v>43442.477731481486</v>
      </c>
      <c r="B365" s="7" t="str">
        <f>HYPERLINK("https://twitter.com/javier_javyer","@javier_javyer")</f>
        <v>@javier_javyer</v>
      </c>
      <c r="C365" s="8" t="s">
        <v>728</v>
      </c>
      <c r="D365" s="9" t="s">
        <v>729</v>
      </c>
      <c r="E365" s="10" t="str">
        <f>HYPERLINK("https://twitter.com/javier_javyer/status/1071350657611902976","1071350657611902976")</f>
        <v>1071350657611902976</v>
      </c>
      <c r="F365" s="11"/>
      <c r="G365" s="11"/>
      <c r="H365" s="11"/>
      <c r="I365" s="13">
        <v>1</v>
      </c>
      <c r="J365" s="13">
        <v>4</v>
      </c>
      <c r="K365" s="14" t="str">
        <f>HYPERLINK("http://twitter.com/download/iphone","Twitter for iPhone")</f>
        <v>Twitter for iPhone</v>
      </c>
      <c r="L365" s="13">
        <v>186</v>
      </c>
      <c r="M365" s="13">
        <v>495</v>
      </c>
      <c r="N365" s="13">
        <v>3</v>
      </c>
      <c r="O365" s="15"/>
      <c r="P365" s="6">
        <v>41639.014768518522</v>
      </c>
      <c r="Q365" s="11"/>
      <c r="R365" s="17"/>
      <c r="S365" s="11"/>
      <c r="T365" s="11"/>
      <c r="U365" s="10" t="str">
        <f>HYPERLINK("https://pbs.twimg.com/profile_images/679639985008545793/_qvWs-Ei.jpg","View")</f>
        <v>View</v>
      </c>
    </row>
    <row r="366" spans="1:21" ht="30.6">
      <c r="A366" s="6">
        <v>43442.477546296301</v>
      </c>
      <c r="B366" s="7" t="str">
        <f>HYPERLINK("https://twitter.com/TELETUSA","@TELETUSA")</f>
        <v>@TELETUSA</v>
      </c>
      <c r="C366" s="8" t="s">
        <v>2461</v>
      </c>
      <c r="D366" s="9" t="s">
        <v>2014</v>
      </c>
      <c r="E366" s="10" t="str">
        <f>HYPERLINK("https://twitter.com/TELETUSA/status/1071350590675001344","1071350590675001344")</f>
        <v>1071350590675001344</v>
      </c>
      <c r="F366" s="12" t="s">
        <v>2017</v>
      </c>
      <c r="G366" s="11"/>
      <c r="H366" s="11"/>
      <c r="I366" s="13">
        <v>0</v>
      </c>
      <c r="J366" s="13">
        <v>0</v>
      </c>
      <c r="K366" s="14" t="str">
        <f>HYPERLINK("http://twitter.com","Twitter Web Client")</f>
        <v>Twitter Web Client</v>
      </c>
      <c r="L366" s="13">
        <v>1725</v>
      </c>
      <c r="M366" s="13">
        <v>1140</v>
      </c>
      <c r="N366" s="13">
        <v>173</v>
      </c>
      <c r="O366" s="15"/>
      <c r="P366" s="6">
        <v>40588.57236111111</v>
      </c>
      <c r="Q366" s="11"/>
      <c r="R366" s="19" t="s">
        <v>2464</v>
      </c>
      <c r="S366" s="11"/>
      <c r="T366" s="11"/>
      <c r="U366" s="10" t="str">
        <f>HYPERLINK("https://pbs.twimg.com/profile_images/1052310476879785984/ERqOUrg4.jpg","View")</f>
        <v>View</v>
      </c>
    </row>
    <row r="367" spans="1:21" ht="51">
      <c r="A367" s="6">
        <v>43442.476006944446</v>
      </c>
      <c r="B367" s="7" t="str">
        <f>HYPERLINK("https://twitter.com/AnnaDemocrata","@AnnaDemocrata")</f>
        <v>@AnnaDemocrata</v>
      </c>
      <c r="C367" s="8" t="s">
        <v>606</v>
      </c>
      <c r="D367" s="9" t="s">
        <v>730</v>
      </c>
      <c r="E367" s="10" t="str">
        <f>HYPERLINK("https://twitter.com/AnnaDemocrata/status/1071350034459975680","1071350034459975680")</f>
        <v>1071350034459975680</v>
      </c>
      <c r="F367" s="12" t="s">
        <v>732</v>
      </c>
      <c r="G367" s="11"/>
      <c r="H367" s="11"/>
      <c r="I367" s="13">
        <v>0</v>
      </c>
      <c r="J367" s="13">
        <v>0</v>
      </c>
      <c r="K367" s="14" t="str">
        <f t="shared" ref="K367:K368" si="67">HYPERLINK("http://twitter.com/download/iphone","Twitter for iPhone")</f>
        <v>Twitter for iPhone</v>
      </c>
      <c r="L367" s="13">
        <v>96</v>
      </c>
      <c r="M367" s="13">
        <v>147</v>
      </c>
      <c r="N367" s="13">
        <v>0</v>
      </c>
      <c r="O367" s="15"/>
      <c r="P367" s="6">
        <v>43013.465046296296</v>
      </c>
      <c r="Q367" s="18" t="s">
        <v>173</v>
      </c>
      <c r="R367" s="19" t="s">
        <v>610</v>
      </c>
      <c r="S367" s="11"/>
      <c r="T367" s="11"/>
      <c r="U367" s="10" t="str">
        <f>HYPERLINK("https://pbs.twimg.com/profile_images/965943715188629505/o5YUBLAw.jpg","View")</f>
        <v>View</v>
      </c>
    </row>
    <row r="368" spans="1:21" ht="51">
      <c r="A368" s="6">
        <v>43442.475995370369</v>
      </c>
      <c r="B368" s="7" t="str">
        <f>HYPERLINK("https://twitter.com/ftarrio","@ftarrio")</f>
        <v>@ftarrio</v>
      </c>
      <c r="C368" s="8" t="s">
        <v>2469</v>
      </c>
      <c r="D368" s="9" t="s">
        <v>2470</v>
      </c>
      <c r="E368" s="10" t="str">
        <f>HYPERLINK("https://twitter.com/ftarrio/status/1071350029565202432","1071350029565202432")</f>
        <v>1071350029565202432</v>
      </c>
      <c r="F368" s="11"/>
      <c r="G368" s="11"/>
      <c r="H368" s="11"/>
      <c r="I368" s="13">
        <v>5</v>
      </c>
      <c r="J368" s="13">
        <v>22</v>
      </c>
      <c r="K368" s="14" t="str">
        <f t="shared" si="67"/>
        <v>Twitter for iPhone</v>
      </c>
      <c r="L368" s="13">
        <v>2368</v>
      </c>
      <c r="M368" s="13">
        <v>1788</v>
      </c>
      <c r="N368" s="13">
        <v>55</v>
      </c>
      <c r="O368" s="15"/>
      <c r="P368" s="6">
        <v>40651.961388888885</v>
      </c>
      <c r="Q368" s="18" t="s">
        <v>2472</v>
      </c>
      <c r="R368" s="19" t="s">
        <v>2473</v>
      </c>
      <c r="S368" s="11"/>
      <c r="T368" s="11"/>
      <c r="U368" s="10" t="str">
        <f>HYPERLINK("https://pbs.twimg.com/profile_images/876563934463000578/cc34FbSB.jpg","View")</f>
        <v>View</v>
      </c>
    </row>
    <row r="369" spans="1:21" ht="40.799999999999997">
      <c r="A369" s="6">
        <v>43442.475891203707</v>
      </c>
      <c r="B369" s="7" t="str">
        <f>HYPERLINK("https://twitter.com/tabarniaBCN","@tabarniaBCN")</f>
        <v>@tabarniaBCN</v>
      </c>
      <c r="C369" s="8" t="s">
        <v>738</v>
      </c>
      <c r="D369" s="9" t="s">
        <v>739</v>
      </c>
      <c r="E369" s="10" t="str">
        <f>HYPERLINK("https://twitter.com/tabarniaBCN/status/1071349991627735041","1071349991627735041")</f>
        <v>1071349991627735041</v>
      </c>
      <c r="F369" s="12" t="s">
        <v>740</v>
      </c>
      <c r="G369" s="12" t="s">
        <v>741</v>
      </c>
      <c r="H369" s="11"/>
      <c r="I369" s="13">
        <v>0</v>
      </c>
      <c r="J369" s="13">
        <v>1</v>
      </c>
      <c r="K369" s="14" t="str">
        <f>HYPERLINK("https://mobile.twitter.com","Twitter Lite")</f>
        <v>Twitter Lite</v>
      </c>
      <c r="L369" s="13">
        <v>4179</v>
      </c>
      <c r="M369" s="13">
        <v>3454</v>
      </c>
      <c r="N369" s="13">
        <v>13</v>
      </c>
      <c r="O369" s="15"/>
      <c r="P369" s="6">
        <v>41381.421180555553</v>
      </c>
      <c r="Q369" s="18" t="s">
        <v>744</v>
      </c>
      <c r="R369" s="19" t="s">
        <v>745</v>
      </c>
      <c r="S369" s="11"/>
      <c r="T369" s="11"/>
      <c r="U369" s="10" t="str">
        <f>HYPERLINK("https://pbs.twimg.com/profile_images/1034314700148944896/xWGyZsMT.jpg","View")</f>
        <v>View</v>
      </c>
    </row>
    <row r="370" spans="1:21" ht="30.6">
      <c r="A370" s="6">
        <v>43442.475590277776</v>
      </c>
      <c r="B370" s="7" t="str">
        <f>HYPERLINK("https://twitter.com/catachoquera","@catachoquera")</f>
        <v>@catachoquera</v>
      </c>
      <c r="C370" s="8" t="s">
        <v>2476</v>
      </c>
      <c r="D370" s="9" t="s">
        <v>2477</v>
      </c>
      <c r="E370" s="10" t="str">
        <f>HYPERLINK("https://twitter.com/catachoquera/status/1071349883196579841","1071349883196579841")</f>
        <v>1071349883196579841</v>
      </c>
      <c r="F370" s="12" t="s">
        <v>49</v>
      </c>
      <c r="G370" s="11"/>
      <c r="H370" s="11"/>
      <c r="I370" s="13">
        <v>0</v>
      </c>
      <c r="J370" s="13">
        <v>0</v>
      </c>
      <c r="K370" s="14" t="str">
        <f>HYPERLINK("http://www.facebook.com/twitter","Facebook")</f>
        <v>Facebook</v>
      </c>
      <c r="L370" s="13">
        <v>411</v>
      </c>
      <c r="M370" s="13">
        <v>612</v>
      </c>
      <c r="N370" s="13">
        <v>1</v>
      </c>
      <c r="O370" s="15"/>
      <c r="P370" s="6">
        <v>40854.642916666664</v>
      </c>
      <c r="Q370" s="18" t="s">
        <v>2480</v>
      </c>
      <c r="R370" s="19" t="s">
        <v>2481</v>
      </c>
      <c r="S370" s="11"/>
      <c r="T370" s="11"/>
      <c r="U370" s="10" t="str">
        <f>HYPERLINK("https://pbs.twimg.com/profile_images/1059884928769449985/rXvW8N5D.jpg","View")</f>
        <v>View</v>
      </c>
    </row>
    <row r="371" spans="1:21" ht="13.2">
      <c r="A371" s="6">
        <v>43442.473078703704</v>
      </c>
      <c r="B371" s="7" t="str">
        <f>HYPERLINK("https://twitter.com/18eimar","@18eimar")</f>
        <v>@18eimar</v>
      </c>
      <c r="C371" s="8" t="s">
        <v>2484</v>
      </c>
      <c r="D371" s="9" t="s">
        <v>612</v>
      </c>
      <c r="E371" s="10" t="str">
        <f>HYPERLINK("https://twitter.com/18eimar/status/1071348970901946368","1071348970901946368")</f>
        <v>1071348970901946368</v>
      </c>
      <c r="F371" s="12" t="s">
        <v>49</v>
      </c>
      <c r="G371" s="11"/>
      <c r="H371" s="11"/>
      <c r="I371" s="13">
        <v>0</v>
      </c>
      <c r="J371" s="13">
        <v>0</v>
      </c>
      <c r="K371" s="14" t="str">
        <f t="shared" ref="K371:K373" si="68">HYPERLINK("http://twitter.com/download/android","Twitter for Android")</f>
        <v>Twitter for Android</v>
      </c>
      <c r="L371" s="13">
        <v>197</v>
      </c>
      <c r="M371" s="13">
        <v>310</v>
      </c>
      <c r="N371" s="13">
        <v>5</v>
      </c>
      <c r="O371" s="15"/>
      <c r="P371" s="6">
        <v>41151.829733796294</v>
      </c>
      <c r="Q371" s="18" t="s">
        <v>2486</v>
      </c>
      <c r="R371" s="19" t="s">
        <v>2487</v>
      </c>
      <c r="S371" s="11"/>
      <c r="T371" s="11"/>
      <c r="U371" s="10" t="str">
        <f>HYPERLINK("https://pbs.twimg.com/profile_images/1020289477749755904/TmSm29RE.jpg","View")</f>
        <v>View</v>
      </c>
    </row>
    <row r="372" spans="1:21" ht="20.399999999999999">
      <c r="A372" s="6">
        <v>43442.472604166665</v>
      </c>
      <c r="B372" s="7" t="str">
        <f>HYPERLINK("https://twitter.com/LaurenArenos","@LaurenArenos")</f>
        <v>@LaurenArenos</v>
      </c>
      <c r="C372" s="8" t="s">
        <v>2488</v>
      </c>
      <c r="D372" s="9" t="s">
        <v>2489</v>
      </c>
      <c r="E372" s="10" t="str">
        <f>HYPERLINK("https://twitter.com/LaurenArenos/status/1071348801061953536","1071348801061953536")</f>
        <v>1071348801061953536</v>
      </c>
      <c r="F372" s="12" t="s">
        <v>2492</v>
      </c>
      <c r="G372" s="11"/>
      <c r="H372" s="11"/>
      <c r="I372" s="13">
        <v>0</v>
      </c>
      <c r="J372" s="13">
        <v>0</v>
      </c>
      <c r="K372" s="14" t="str">
        <f t="shared" si="68"/>
        <v>Twitter for Android</v>
      </c>
      <c r="L372" s="13">
        <v>874</v>
      </c>
      <c r="M372" s="13">
        <v>1242</v>
      </c>
      <c r="N372" s="13">
        <v>0</v>
      </c>
      <c r="O372" s="15"/>
      <c r="P372" s="6">
        <v>43268.977326388893</v>
      </c>
      <c r="Q372" s="11"/>
      <c r="R372" s="19" t="s">
        <v>2493</v>
      </c>
      <c r="S372" s="11"/>
      <c r="T372" s="11"/>
      <c r="U372" s="10" t="str">
        <f>HYPERLINK("https://pbs.twimg.com/profile_images/1008462268663828480/RBvgbkmL.jpg","View")</f>
        <v>View</v>
      </c>
    </row>
    <row r="373" spans="1:21" ht="30.6">
      <c r="A373" s="6">
        <v>43442.471956018519</v>
      </c>
      <c r="B373" s="7" t="str">
        <f>HYPERLINK("https://twitter.com/Natanael6122021","@Natanael6122021")</f>
        <v>@Natanael6122021</v>
      </c>
      <c r="C373" s="8" t="s">
        <v>2495</v>
      </c>
      <c r="D373" s="9" t="s">
        <v>2496</v>
      </c>
      <c r="E373" s="10" t="str">
        <f>HYPERLINK("https://twitter.com/Natanael6122021/status/1071348567405666304","1071348567405666304")</f>
        <v>1071348567405666304</v>
      </c>
      <c r="F373" s="12" t="s">
        <v>280</v>
      </c>
      <c r="G373" s="11"/>
      <c r="H373" s="11"/>
      <c r="I373" s="13">
        <v>0</v>
      </c>
      <c r="J373" s="13">
        <v>0</v>
      </c>
      <c r="K373" s="14" t="str">
        <f t="shared" si="68"/>
        <v>Twitter for Android</v>
      </c>
      <c r="L373" s="13">
        <v>5988</v>
      </c>
      <c r="M373" s="13">
        <v>5844</v>
      </c>
      <c r="N373" s="13">
        <v>43</v>
      </c>
      <c r="O373" s="15"/>
      <c r="P373" s="6">
        <v>40869.442523148144</v>
      </c>
      <c r="Q373" s="18" t="s">
        <v>307</v>
      </c>
      <c r="R373" s="19" t="s">
        <v>2497</v>
      </c>
      <c r="S373" s="11"/>
      <c r="T373" s="11"/>
      <c r="U373" s="10" t="str">
        <f>HYPERLINK("https://pbs.twimg.com/profile_images/991774426743091206/LUDZYLGJ.jpg","View")</f>
        <v>View</v>
      </c>
    </row>
    <row r="374" spans="1:21" ht="61.2">
      <c r="A374" s="6">
        <v>43442.470532407402</v>
      </c>
      <c r="B374" s="7" t="str">
        <f>HYPERLINK("https://twitter.com/juance","@juance")</f>
        <v>@juance</v>
      </c>
      <c r="C374" s="8" t="s">
        <v>747</v>
      </c>
      <c r="D374" s="9" t="s">
        <v>748</v>
      </c>
      <c r="E374" s="10" t="str">
        <f>HYPERLINK("https://twitter.com/juance/status/1071348052089290752","1071348052089290752")</f>
        <v>1071348052089290752</v>
      </c>
      <c r="F374" s="11"/>
      <c r="G374" s="11"/>
      <c r="H374" s="11"/>
      <c r="I374" s="13">
        <v>0</v>
      </c>
      <c r="J374" s="13">
        <v>0</v>
      </c>
      <c r="K374" s="14" t="str">
        <f t="shared" ref="K374:K375" si="69">HYPERLINK("http://twitter.com","Twitter Web Client")</f>
        <v>Twitter Web Client</v>
      </c>
      <c r="L374" s="13">
        <v>3108</v>
      </c>
      <c r="M374" s="13">
        <v>1850</v>
      </c>
      <c r="N374" s="13">
        <v>82</v>
      </c>
      <c r="O374" s="15"/>
      <c r="P374" s="6">
        <v>39197.622777777782</v>
      </c>
      <c r="Q374" s="18" t="s">
        <v>751</v>
      </c>
      <c r="R374" s="19" t="s">
        <v>752</v>
      </c>
      <c r="S374" s="12" t="s">
        <v>753</v>
      </c>
      <c r="T374" s="11"/>
      <c r="U374" s="10" t="str">
        <f>HYPERLINK("https://pbs.twimg.com/profile_images/1051039820573753344/MjzFrzGf.jpg","View")</f>
        <v>View</v>
      </c>
    </row>
    <row r="375" spans="1:21" ht="40.799999999999997">
      <c r="A375" s="6">
        <v>43442.46974537037</v>
      </c>
      <c r="B375" s="7" t="str">
        <f>HYPERLINK("https://twitter.com/joseman52","@joseman52")</f>
        <v>@joseman52</v>
      </c>
      <c r="C375" s="8" t="s">
        <v>2502</v>
      </c>
      <c r="D375" s="9" t="s">
        <v>2503</v>
      </c>
      <c r="E375" s="10" t="str">
        <f>HYPERLINK("https://twitter.com/joseman52/status/1071347763613495296","1071347763613495296")</f>
        <v>1071347763613495296</v>
      </c>
      <c r="F375" s="11"/>
      <c r="G375" s="12" t="s">
        <v>2505</v>
      </c>
      <c r="H375" s="11"/>
      <c r="I375" s="13">
        <v>0</v>
      </c>
      <c r="J375" s="13">
        <v>0</v>
      </c>
      <c r="K375" s="14" t="str">
        <f t="shared" si="69"/>
        <v>Twitter Web Client</v>
      </c>
      <c r="L375" s="13">
        <v>2291</v>
      </c>
      <c r="M375" s="13">
        <v>2143</v>
      </c>
      <c r="N375" s="13">
        <v>118</v>
      </c>
      <c r="O375" s="15"/>
      <c r="P375" s="6">
        <v>41066.081307870372</v>
      </c>
      <c r="Q375" s="18" t="s">
        <v>98</v>
      </c>
      <c r="R375" s="19" t="s">
        <v>2506</v>
      </c>
      <c r="S375" s="11"/>
      <c r="T375" s="11"/>
      <c r="U375" s="10" t="str">
        <f>HYPERLINK("https://pbs.twimg.com/profile_images/3198137873/a6a62ca591734d8cf8d4a40ef5a4507b.jpeg","View")</f>
        <v>View</v>
      </c>
    </row>
    <row r="376" spans="1:21" ht="91.8">
      <c r="A376" s="6">
        <v>43442.469456018516</v>
      </c>
      <c r="B376" s="7" t="str">
        <f>HYPERLINK("https://twitter.com/dolores64940063","@dolores64940063")</f>
        <v>@dolores64940063</v>
      </c>
      <c r="C376" s="8" t="s">
        <v>2508</v>
      </c>
      <c r="D376" s="9" t="s">
        <v>2509</v>
      </c>
      <c r="E376" s="10" t="str">
        <f>HYPERLINK("https://twitter.com/dolores64940063/status/1071347658319634432","1071347658319634432")</f>
        <v>1071347658319634432</v>
      </c>
      <c r="F376" s="12" t="s">
        <v>1031</v>
      </c>
      <c r="G376" s="12" t="s">
        <v>1032</v>
      </c>
      <c r="H376" s="11"/>
      <c r="I376" s="13">
        <v>0</v>
      </c>
      <c r="J376" s="13">
        <v>0</v>
      </c>
      <c r="K376" s="14" t="str">
        <f>HYPERLINK("http://twitter.com/download/iphone","Twitter for iPhone")</f>
        <v>Twitter for iPhone</v>
      </c>
      <c r="L376" s="13">
        <v>293</v>
      </c>
      <c r="M376" s="13">
        <v>670</v>
      </c>
      <c r="N376" s="13">
        <v>0</v>
      </c>
      <c r="O376" s="15"/>
      <c r="P376" s="6">
        <v>43128.583773148144</v>
      </c>
      <c r="Q376" s="18" t="s">
        <v>2512</v>
      </c>
      <c r="R376" s="17"/>
      <c r="S376" s="11"/>
      <c r="T376" s="11"/>
      <c r="U376" s="10" t="str">
        <f>HYPERLINK("https://pbs.twimg.com/profile_images/1008314985469050880/6qOwMWGv.jpg","View")</f>
        <v>View</v>
      </c>
    </row>
    <row r="377" spans="1:21" ht="102">
      <c r="A377" s="6">
        <v>43442.468055555553</v>
      </c>
      <c r="B377" s="7" t="str">
        <f>HYPERLINK("https://twitter.com/Luisautonomo","@Luisautonomo")</f>
        <v>@Luisautonomo</v>
      </c>
      <c r="C377" s="8" t="s">
        <v>755</v>
      </c>
      <c r="D377" s="9" t="s">
        <v>756</v>
      </c>
      <c r="E377" s="10" t="str">
        <f>HYPERLINK("https://twitter.com/Luisautonomo/status/1071347152243343360","1071347152243343360")</f>
        <v>1071347152243343360</v>
      </c>
      <c r="F377" s="12" t="s">
        <v>760</v>
      </c>
      <c r="G377" s="12" t="s">
        <v>761</v>
      </c>
      <c r="H377" s="11"/>
      <c r="I377" s="13">
        <v>2</v>
      </c>
      <c r="J377" s="13">
        <v>0</v>
      </c>
      <c r="K377" s="14" t="str">
        <f t="shared" ref="K377:K379" si="70">HYPERLINK("http://twitter.com/download/android","Twitter for Android")</f>
        <v>Twitter for Android</v>
      </c>
      <c r="L377" s="13">
        <v>2754</v>
      </c>
      <c r="M377" s="13">
        <v>4942</v>
      </c>
      <c r="N377" s="13">
        <v>18</v>
      </c>
      <c r="O377" s="15"/>
      <c r="P377" s="6">
        <v>40364.825636574074</v>
      </c>
      <c r="Q377" s="11"/>
      <c r="R377" s="19" t="s">
        <v>762</v>
      </c>
      <c r="S377" s="11"/>
      <c r="T377" s="11"/>
      <c r="U377" s="10" t="str">
        <f>HYPERLINK("https://pbs.twimg.com/profile_images/695952968210870272/URjGToWM.jpg","View")</f>
        <v>View</v>
      </c>
    </row>
    <row r="378" spans="1:21" ht="30.6">
      <c r="A378" s="6">
        <v>43442.466990740737</v>
      </c>
      <c r="B378" s="7" t="str">
        <f>HYPERLINK("https://twitter.com/pallaron12","@pallaron12")</f>
        <v>@pallaron12</v>
      </c>
      <c r="C378" s="8" t="s">
        <v>2159</v>
      </c>
      <c r="D378" s="9" t="s">
        <v>2518</v>
      </c>
      <c r="E378" s="10" t="str">
        <f>HYPERLINK("https://twitter.com/pallaron12/status/1071346768116371461","1071346768116371461")</f>
        <v>1071346768116371461</v>
      </c>
      <c r="F378" s="12" t="s">
        <v>2520</v>
      </c>
      <c r="G378" s="11"/>
      <c r="H378" s="11"/>
      <c r="I378" s="13">
        <v>1</v>
      </c>
      <c r="J378" s="13">
        <v>1</v>
      </c>
      <c r="K378" s="14" t="str">
        <f t="shared" si="70"/>
        <v>Twitter for Android</v>
      </c>
      <c r="L378" s="13">
        <v>1481</v>
      </c>
      <c r="M378" s="13">
        <v>551</v>
      </c>
      <c r="N378" s="13">
        <v>8</v>
      </c>
      <c r="O378" s="15"/>
      <c r="P378" s="6">
        <v>41854.66134259259</v>
      </c>
      <c r="Q378" s="18" t="s">
        <v>2162</v>
      </c>
      <c r="R378" s="19" t="s">
        <v>2163</v>
      </c>
      <c r="S378" s="11"/>
      <c r="T378" s="11"/>
      <c r="U378" s="10" t="str">
        <f>HYPERLINK("https://pbs.twimg.com/profile_images/1064713832633896961/NkwZ7D9D.jpg","View")</f>
        <v>View</v>
      </c>
    </row>
    <row r="379" spans="1:21" ht="30.6">
      <c r="A379" s="6">
        <v>43442.466145833328</v>
      </c>
      <c r="B379" s="7" t="str">
        <f>HYPERLINK("https://twitter.com/Max___Powell","@Max___Powell")</f>
        <v>@Max___Powell</v>
      </c>
      <c r="C379" s="8" t="s">
        <v>2523</v>
      </c>
      <c r="D379" s="9" t="s">
        <v>2524</v>
      </c>
      <c r="E379" s="10" t="str">
        <f>HYPERLINK("https://twitter.com/Max___Powell/status/1071346462573891584","1071346462573891584")</f>
        <v>1071346462573891584</v>
      </c>
      <c r="F379" s="12" t="s">
        <v>49</v>
      </c>
      <c r="G379" s="11"/>
      <c r="H379" s="11"/>
      <c r="I379" s="13">
        <v>0</v>
      </c>
      <c r="J379" s="13">
        <v>0</v>
      </c>
      <c r="K379" s="14" t="str">
        <f t="shared" si="70"/>
        <v>Twitter for Android</v>
      </c>
      <c r="L379" s="13">
        <v>729</v>
      </c>
      <c r="M379" s="13">
        <v>1425</v>
      </c>
      <c r="N379" s="13">
        <v>13</v>
      </c>
      <c r="O379" s="15"/>
      <c r="P379" s="6">
        <v>40430.117731481485</v>
      </c>
      <c r="Q379" s="11"/>
      <c r="R379" s="19" t="s">
        <v>2527</v>
      </c>
      <c r="S379" s="11"/>
      <c r="T379" s="11"/>
      <c r="U379" s="10" t="str">
        <f>HYPERLINK("https://pbs.twimg.com/profile_images/1070711991457759232/z9vqPkAC.jpg","View")</f>
        <v>View</v>
      </c>
    </row>
    <row r="380" spans="1:21" ht="40.799999999999997">
      <c r="A380" s="6">
        <v>43442.463877314818</v>
      </c>
      <c r="B380" s="7" t="str">
        <f>HYPERLINK("https://twitter.com/Jevirivas","@Jevirivas")</f>
        <v>@Jevirivas</v>
      </c>
      <c r="C380" s="8" t="s">
        <v>2530</v>
      </c>
      <c r="D380" s="9" t="s">
        <v>2531</v>
      </c>
      <c r="E380" s="10" t="str">
        <f>HYPERLINK("https://twitter.com/Jevirivas/status/1071345637655044096","1071345637655044096")</f>
        <v>1071345637655044096</v>
      </c>
      <c r="F380" s="12" t="s">
        <v>2532</v>
      </c>
      <c r="G380" s="11"/>
      <c r="H380" s="11"/>
      <c r="I380" s="13">
        <v>0</v>
      </c>
      <c r="J380" s="13">
        <v>0</v>
      </c>
      <c r="K380" s="14" t="str">
        <f>HYPERLINK("http://www.facebook.com/twitter","Facebook")</f>
        <v>Facebook</v>
      </c>
      <c r="L380" s="13">
        <v>633</v>
      </c>
      <c r="M380" s="13">
        <v>425</v>
      </c>
      <c r="N380" s="13">
        <v>28</v>
      </c>
      <c r="O380" s="15"/>
      <c r="P380" s="6">
        <v>40674.906840277778</v>
      </c>
      <c r="Q380" s="11"/>
      <c r="R380" s="19" t="s">
        <v>2535</v>
      </c>
      <c r="S380" s="11"/>
      <c r="T380" s="11"/>
      <c r="U380" s="10" t="str">
        <f>HYPERLINK("https://pbs.twimg.com/profile_images/1041077801032527872/W0orwzMQ.jpg","View")</f>
        <v>View</v>
      </c>
    </row>
    <row r="381" spans="1:21" ht="30.6">
      <c r="A381" s="6">
        <v>43442.463807870372</v>
      </c>
      <c r="B381" s="7" t="str">
        <f>HYPERLINK("https://twitter.com/jlperezca","@jlperezca")</f>
        <v>@jlperezca</v>
      </c>
      <c r="C381" s="8" t="s">
        <v>2539</v>
      </c>
      <c r="D381" s="9" t="s">
        <v>2540</v>
      </c>
      <c r="E381" s="10" t="str">
        <f>HYPERLINK("https://twitter.com/jlperezca/status/1071345613680377859","1071345613680377859")</f>
        <v>1071345613680377859</v>
      </c>
      <c r="F381" s="12" t="s">
        <v>2543</v>
      </c>
      <c r="G381" s="11"/>
      <c r="H381" s="11"/>
      <c r="I381" s="13">
        <v>0</v>
      </c>
      <c r="J381" s="13">
        <v>0</v>
      </c>
      <c r="K381" s="14" t="str">
        <f t="shared" ref="K381:K382" si="71">HYPERLINK("http://twitter.com/download/android","Twitter for Android")</f>
        <v>Twitter for Android</v>
      </c>
      <c r="L381" s="13">
        <v>129</v>
      </c>
      <c r="M381" s="13">
        <v>673</v>
      </c>
      <c r="N381" s="13">
        <v>6</v>
      </c>
      <c r="O381" s="15"/>
      <c r="P381" s="6">
        <v>41719.024456018517</v>
      </c>
      <c r="Q381" s="18" t="s">
        <v>1102</v>
      </c>
      <c r="R381" s="19" t="s">
        <v>2545</v>
      </c>
      <c r="S381" s="11"/>
      <c r="T381" s="11"/>
      <c r="U381" s="10" t="str">
        <f>HYPERLINK("https://pbs.twimg.com/profile_images/481519228508332032/QtkDFRaC.jpeg","View")</f>
        <v>View</v>
      </c>
    </row>
    <row r="382" spans="1:21" ht="30.6">
      <c r="A382" s="6">
        <v>43442.462951388894</v>
      </c>
      <c r="B382" s="7" t="str">
        <f>HYPERLINK("https://twitter.com/pallaron12","@pallaron12")</f>
        <v>@pallaron12</v>
      </c>
      <c r="C382" s="8" t="s">
        <v>2159</v>
      </c>
      <c r="D382" s="9" t="s">
        <v>2548</v>
      </c>
      <c r="E382" s="10" t="str">
        <f>HYPERLINK("https://twitter.com/pallaron12/status/1071345302009991170","1071345302009991170")</f>
        <v>1071345302009991170</v>
      </c>
      <c r="F382" s="12" t="s">
        <v>2551</v>
      </c>
      <c r="G382" s="11"/>
      <c r="H382" s="11"/>
      <c r="I382" s="13">
        <v>0</v>
      </c>
      <c r="J382" s="13">
        <v>2</v>
      </c>
      <c r="K382" s="14" t="str">
        <f t="shared" si="71"/>
        <v>Twitter for Android</v>
      </c>
      <c r="L382" s="13">
        <v>1481</v>
      </c>
      <c r="M382" s="13">
        <v>551</v>
      </c>
      <c r="N382" s="13">
        <v>8</v>
      </c>
      <c r="O382" s="15"/>
      <c r="P382" s="6">
        <v>41854.66134259259</v>
      </c>
      <c r="Q382" s="18" t="s">
        <v>2162</v>
      </c>
      <c r="R382" s="19" t="s">
        <v>2163</v>
      </c>
      <c r="S382" s="11"/>
      <c r="T382" s="11"/>
      <c r="U382" s="10" t="str">
        <f>HYPERLINK("https://pbs.twimg.com/profile_images/1064713832633896961/NkwZ7D9D.jpg","View")</f>
        <v>View</v>
      </c>
    </row>
    <row r="383" spans="1:21" ht="40.799999999999997">
      <c r="A383" s="6">
        <v>43442.462361111116</v>
      </c>
      <c r="B383" s="7" t="str">
        <f>HYPERLINK("https://twitter.com/LiberaONG","@LiberaONG")</f>
        <v>@LiberaONG</v>
      </c>
      <c r="C383" s="8" t="s">
        <v>2555</v>
      </c>
      <c r="D383" s="9" t="s">
        <v>2556</v>
      </c>
      <c r="E383" s="10" t="str">
        <f>HYPERLINK("https://twitter.com/LiberaONG/status/1071345090860322816","1071345090860322816")</f>
        <v>1071345090860322816</v>
      </c>
      <c r="F383" s="18" t="s">
        <v>2559</v>
      </c>
      <c r="G383" s="12" t="s">
        <v>2561</v>
      </c>
      <c r="H383" s="11"/>
      <c r="I383" s="13">
        <v>9</v>
      </c>
      <c r="J383" s="13">
        <v>1</v>
      </c>
      <c r="K383" s="14" t="str">
        <f>HYPERLINK("http://twitter.com","Twitter Web Client")</f>
        <v>Twitter Web Client</v>
      </c>
      <c r="L383" s="13">
        <v>17237</v>
      </c>
      <c r="M383" s="13">
        <v>1670</v>
      </c>
      <c r="N383" s="13">
        <v>224</v>
      </c>
      <c r="O383" s="15"/>
      <c r="P383" s="6">
        <v>40270.799050925925</v>
      </c>
      <c r="Q383" s="18" t="s">
        <v>42</v>
      </c>
      <c r="R383" s="19" t="s">
        <v>2563</v>
      </c>
      <c r="S383" s="12" t="s">
        <v>2564</v>
      </c>
      <c r="T383" s="11"/>
      <c r="U383" s="10" t="str">
        <f>HYPERLINK("https://pbs.twimg.com/profile_images/672469994240897024/f5hC4kMp.png","View")</f>
        <v>View</v>
      </c>
    </row>
    <row r="384" spans="1:21" ht="20.399999999999999">
      <c r="A384" s="6">
        <v>43442.462071759262</v>
      </c>
      <c r="B384" s="7" t="str">
        <f>HYPERLINK("https://twitter.com/marinauta","@marinauta")</f>
        <v>@marinauta</v>
      </c>
      <c r="C384" s="8" t="s">
        <v>2567</v>
      </c>
      <c r="D384" s="9" t="s">
        <v>285</v>
      </c>
      <c r="E384" s="10" t="str">
        <f>HYPERLINK("https://twitter.com/marinauta/status/1071344984052371457","1071344984052371457")</f>
        <v>1071344984052371457</v>
      </c>
      <c r="F384" s="12" t="s">
        <v>290</v>
      </c>
      <c r="G384" s="11"/>
      <c r="H384" s="11"/>
      <c r="I384" s="13">
        <v>1</v>
      </c>
      <c r="J384" s="13">
        <v>1</v>
      </c>
      <c r="K384" s="14" t="str">
        <f>HYPERLINK("http://twitter.com/download/android","Twitter for Android")</f>
        <v>Twitter for Android</v>
      </c>
      <c r="L384" s="13">
        <v>29</v>
      </c>
      <c r="M384" s="13">
        <v>29</v>
      </c>
      <c r="N384" s="13">
        <v>0</v>
      </c>
      <c r="O384" s="15"/>
      <c r="P384" s="6">
        <v>42346.022164351853</v>
      </c>
      <c r="Q384" s="11"/>
      <c r="R384" s="19" t="s">
        <v>2570</v>
      </c>
      <c r="S384" s="11"/>
      <c r="T384" s="11"/>
      <c r="U384" s="10" t="str">
        <f>HYPERLINK("https://pbs.twimg.com/profile_images/787611522168160256/hKSFusUG.jpg","View")</f>
        <v>View</v>
      </c>
    </row>
    <row r="385" spans="1:21" ht="51">
      <c r="A385" s="6">
        <v>43442.461539351847</v>
      </c>
      <c r="B385" s="7" t="str">
        <f>HYPERLINK("https://twitter.com/Johan220510","@Johan220510")</f>
        <v>@Johan220510</v>
      </c>
      <c r="C385" s="8" t="s">
        <v>763</v>
      </c>
      <c r="D385" s="9" t="s">
        <v>764</v>
      </c>
      <c r="E385" s="10" t="str">
        <f>HYPERLINK("https://twitter.com/Johan220510/status/1071344792301395974","1071344792301395974")</f>
        <v>1071344792301395974</v>
      </c>
      <c r="F385" s="12" t="s">
        <v>765</v>
      </c>
      <c r="G385" s="11"/>
      <c r="H385" s="11"/>
      <c r="I385" s="13">
        <v>0</v>
      </c>
      <c r="J385" s="13">
        <v>0</v>
      </c>
      <c r="K385" s="14" t="str">
        <f t="shared" ref="K385:K386" si="72">HYPERLINK("http://twitter.com/download/iphone","Twitter for iPhone")</f>
        <v>Twitter for iPhone</v>
      </c>
      <c r="L385" s="13">
        <v>1357</v>
      </c>
      <c r="M385" s="13">
        <v>2018</v>
      </c>
      <c r="N385" s="13">
        <v>20</v>
      </c>
      <c r="O385" s="15"/>
      <c r="P385" s="6">
        <v>40627.033530092594</v>
      </c>
      <c r="Q385" s="18" t="s">
        <v>766</v>
      </c>
      <c r="R385" s="19" t="s">
        <v>767</v>
      </c>
      <c r="S385" s="11"/>
      <c r="T385" s="11"/>
      <c r="U385" s="10" t="str">
        <f>HYPERLINK("https://pbs.twimg.com/profile_images/595583514403336193/k5kabSGw.jpg","View")</f>
        <v>View</v>
      </c>
    </row>
    <row r="386" spans="1:21" ht="40.799999999999997">
      <c r="A386" s="6">
        <v>43442.460312499999</v>
      </c>
      <c r="B386" s="7" t="str">
        <f>HYPERLINK("https://twitter.com/asanleo","@asanleo")</f>
        <v>@asanleo</v>
      </c>
      <c r="C386" s="8" t="s">
        <v>718</v>
      </c>
      <c r="D386" s="9" t="s">
        <v>770</v>
      </c>
      <c r="E386" s="10" t="str">
        <f>HYPERLINK("https://twitter.com/asanleo/status/1071344345847078914","1071344345847078914")</f>
        <v>1071344345847078914</v>
      </c>
      <c r="F386" s="12" t="s">
        <v>772</v>
      </c>
      <c r="G386" s="11"/>
      <c r="H386" s="11"/>
      <c r="I386" s="13">
        <v>0</v>
      </c>
      <c r="J386" s="13">
        <v>0</v>
      </c>
      <c r="K386" s="14" t="str">
        <f t="shared" si="72"/>
        <v>Twitter for iPhone</v>
      </c>
      <c r="L386" s="13">
        <v>3517</v>
      </c>
      <c r="M386" s="13">
        <v>1697</v>
      </c>
      <c r="N386" s="13">
        <v>191</v>
      </c>
      <c r="O386" s="15"/>
      <c r="P386" s="6">
        <v>40235.434560185182</v>
      </c>
      <c r="Q386" s="11"/>
      <c r="R386" s="19" t="s">
        <v>724</v>
      </c>
      <c r="S386" s="12" t="s">
        <v>725</v>
      </c>
      <c r="T386" s="11"/>
      <c r="U386" s="10" t="str">
        <f>HYPERLINK("https://pbs.twimg.com/profile_images/378800000847619821/547e9509ecfd07cbd93f5b8cd7b7e681.jpeg","View")</f>
        <v>View</v>
      </c>
    </row>
    <row r="387" spans="1:21" ht="40.799999999999997">
      <c r="A387" s="6">
        <v>43442.459872685184</v>
      </c>
      <c r="B387" s="7" t="str">
        <f>HYPERLINK("https://twitter.com/ruben_prz","@ruben_prz")</f>
        <v>@ruben_prz</v>
      </c>
      <c r="C387" s="8" t="s">
        <v>2577</v>
      </c>
      <c r="D387" s="9" t="s">
        <v>2578</v>
      </c>
      <c r="E387" s="10" t="str">
        <f>HYPERLINK("https://twitter.com/ruben_prz/status/1071344188631977985","1071344188631977985")</f>
        <v>1071344188631977985</v>
      </c>
      <c r="F387" s="12" t="s">
        <v>2579</v>
      </c>
      <c r="G387" s="12" t="s">
        <v>2580</v>
      </c>
      <c r="H387" s="11"/>
      <c r="I387" s="13">
        <v>3</v>
      </c>
      <c r="J387" s="13">
        <v>0</v>
      </c>
      <c r="K387" s="14" t="str">
        <f>HYPERLINK("http://twitter.com","Twitter Web Client")</f>
        <v>Twitter Web Client</v>
      </c>
      <c r="L387" s="13">
        <v>1616</v>
      </c>
      <c r="M387" s="13">
        <v>419</v>
      </c>
      <c r="N387" s="13">
        <v>41</v>
      </c>
      <c r="O387" s="15"/>
      <c r="P387" s="6">
        <v>40936.677395833336</v>
      </c>
      <c r="Q387" s="18" t="s">
        <v>454</v>
      </c>
      <c r="R387" s="19" t="s">
        <v>2583</v>
      </c>
      <c r="S387" s="11"/>
      <c r="T387" s="11"/>
      <c r="U387" s="10" t="str">
        <f>HYPERLINK("https://pbs.twimg.com/profile_images/712646560669167616/rfNZjhdm.jpg","View")</f>
        <v>View</v>
      </c>
    </row>
    <row r="388" spans="1:21" ht="40.799999999999997">
      <c r="A388" s="6">
        <v>43442.458993055552</v>
      </c>
      <c r="B388" s="7" t="str">
        <f>HYPERLINK("https://twitter.com/PalleiroDe","@PalleiroDe")</f>
        <v>@PalleiroDe</v>
      </c>
      <c r="C388" s="8" t="s">
        <v>2586</v>
      </c>
      <c r="D388" s="9" t="s">
        <v>612</v>
      </c>
      <c r="E388" s="10" t="str">
        <f>HYPERLINK("https://twitter.com/PalleiroDe/status/1071343867927105536","1071343867927105536")</f>
        <v>1071343867927105536</v>
      </c>
      <c r="F388" s="12" t="s">
        <v>49</v>
      </c>
      <c r="G388" s="11"/>
      <c r="H388" s="11"/>
      <c r="I388" s="13">
        <v>2</v>
      </c>
      <c r="J388" s="13">
        <v>2</v>
      </c>
      <c r="K388" s="14" t="str">
        <f>HYPERLINK("http://twitter.com/download/android","Twitter for Android")</f>
        <v>Twitter for Android</v>
      </c>
      <c r="L388" s="13">
        <v>1240</v>
      </c>
      <c r="M388" s="13">
        <v>3425</v>
      </c>
      <c r="N388" s="13">
        <v>1</v>
      </c>
      <c r="O388" s="15"/>
      <c r="P388" s="6">
        <v>43156.997442129628</v>
      </c>
      <c r="Q388" s="18" t="s">
        <v>2587</v>
      </c>
      <c r="R388" s="19" t="s">
        <v>2588</v>
      </c>
      <c r="S388" s="11"/>
      <c r="T388" s="11"/>
      <c r="U388" s="10" t="str">
        <f>HYPERLINK("https://pbs.twimg.com/profile_images/968905630391111681/WD9nkiTb.jpg","View")</f>
        <v>View</v>
      </c>
    </row>
    <row r="389" spans="1:21" ht="40.799999999999997">
      <c r="A389" s="6">
        <v>43442.458668981482</v>
      </c>
      <c r="B389" s="7" t="str">
        <f>HYPERLINK("https://twitter.com/Tessbateria","@Tessbateria")</f>
        <v>@Tessbateria</v>
      </c>
      <c r="C389" s="8" t="s">
        <v>2592</v>
      </c>
      <c r="D389" s="9" t="s">
        <v>2593</v>
      </c>
      <c r="E389" s="10" t="str">
        <f>HYPERLINK("https://twitter.com/Tessbateria/status/1071343750239150080","1071343750239150080")</f>
        <v>1071343750239150080</v>
      </c>
      <c r="F389" s="12" t="s">
        <v>2595</v>
      </c>
      <c r="G389" s="11"/>
      <c r="H389" s="11"/>
      <c r="I389" s="13">
        <v>0</v>
      </c>
      <c r="J389" s="13">
        <v>0</v>
      </c>
      <c r="K389" s="14" t="str">
        <f>HYPERLINK("http://twitter.com","Twitter Web Client")</f>
        <v>Twitter Web Client</v>
      </c>
      <c r="L389" s="13">
        <v>393</v>
      </c>
      <c r="M389" s="13">
        <v>522</v>
      </c>
      <c r="N389" s="13">
        <v>2</v>
      </c>
      <c r="O389" s="15"/>
      <c r="P389" s="6">
        <v>43331.535381944443</v>
      </c>
      <c r="Q389" s="18" t="s">
        <v>2596</v>
      </c>
      <c r="R389" s="19" t="s">
        <v>2597</v>
      </c>
      <c r="S389" s="11"/>
      <c r="T389" s="11"/>
      <c r="U389" s="10" t="str">
        <f>HYPERLINK("https://pbs.twimg.com/profile_images/1071026667664130049/1JfdMNXD.jpg","View")</f>
        <v>View</v>
      </c>
    </row>
    <row r="390" spans="1:21" ht="20.399999999999999">
      <c r="A390" s="6">
        <v>43442.458333333328</v>
      </c>
      <c r="B390" s="7" t="str">
        <f>HYPERLINK("https://twitter.com/pacomarhuenda","@pacomarhuenda")</f>
        <v>@pacomarhuenda</v>
      </c>
      <c r="C390" s="8" t="s">
        <v>775</v>
      </c>
      <c r="D390" s="9" t="s">
        <v>88</v>
      </c>
      <c r="E390" s="10" t="str">
        <f>HYPERLINK("https://twitter.com/pacomarhuenda/status/1071343627878715392","1071343627878715392")</f>
        <v>1071343627878715392</v>
      </c>
      <c r="F390" s="12" t="s">
        <v>776</v>
      </c>
      <c r="G390" s="12" t="s">
        <v>777</v>
      </c>
      <c r="H390" s="11"/>
      <c r="I390" s="13">
        <v>80</v>
      </c>
      <c r="J390" s="13">
        <v>88</v>
      </c>
      <c r="K390" s="14" t="str">
        <f>HYPERLINK("http://dogtrack.es","DogTrack_Oficial")</f>
        <v>DogTrack_Oficial</v>
      </c>
      <c r="L390" s="13">
        <v>214765</v>
      </c>
      <c r="M390" s="13">
        <v>58</v>
      </c>
      <c r="N390" s="13">
        <v>2180</v>
      </c>
      <c r="O390" s="16" t="s">
        <v>25</v>
      </c>
      <c r="P390" s="6">
        <v>40683.523981481485</v>
      </c>
      <c r="Q390" s="18" t="s">
        <v>42</v>
      </c>
      <c r="R390" s="19" t="s">
        <v>778</v>
      </c>
      <c r="S390" s="12" t="s">
        <v>94</v>
      </c>
      <c r="T390" s="11"/>
      <c r="U390" s="10" t="str">
        <f>HYPERLINK("https://pbs.twimg.com/profile_images/1362275942/director_recortada.jpg","View")</f>
        <v>View</v>
      </c>
    </row>
    <row r="391" spans="1:21" ht="102">
      <c r="A391" s="6">
        <v>43442.457870370374</v>
      </c>
      <c r="B391" s="7" t="str">
        <f>HYPERLINK("https://twitter.com/Estibalizespin","@Estibalizespin")</f>
        <v>@Estibalizespin</v>
      </c>
      <c r="C391" s="8" t="s">
        <v>781</v>
      </c>
      <c r="D391" s="9" t="s">
        <v>782</v>
      </c>
      <c r="E391" s="10" t="str">
        <f>HYPERLINK("https://twitter.com/Estibalizespin/status/1071343463222923264","1071343463222923264")</f>
        <v>1071343463222923264</v>
      </c>
      <c r="F391" s="12" t="s">
        <v>784</v>
      </c>
      <c r="G391" s="11"/>
      <c r="H391" s="11"/>
      <c r="I391" s="13">
        <v>0</v>
      </c>
      <c r="J391" s="13">
        <v>0</v>
      </c>
      <c r="K391" s="14" t="str">
        <f>HYPERLINK("http://twitter.com/download/iphone","Twitter for iPhone")</f>
        <v>Twitter for iPhone</v>
      </c>
      <c r="L391" s="13">
        <v>119</v>
      </c>
      <c r="M391" s="13">
        <v>80</v>
      </c>
      <c r="N391" s="13">
        <v>0</v>
      </c>
      <c r="O391" s="15"/>
      <c r="P391" s="6">
        <v>42901.358564814815</v>
      </c>
      <c r="Q391" s="18" t="s">
        <v>246</v>
      </c>
      <c r="R391" s="19" t="s">
        <v>786</v>
      </c>
      <c r="S391" s="11"/>
      <c r="T391" s="11"/>
      <c r="U391" s="10" t="str">
        <f>HYPERLINK("https://pbs.twimg.com/profile_images/1048529413435006976/171e7X0f.jpg","View")</f>
        <v>View</v>
      </c>
    </row>
    <row r="392" spans="1:21" ht="81.599999999999994">
      <c r="A392" s="6">
        <v>43442.457442129627</v>
      </c>
      <c r="B392" s="7" t="str">
        <f>HYPERLINK("https://twitter.com/serpetx","@serpetx")</f>
        <v>@serpetx</v>
      </c>
      <c r="C392" s="8" t="s">
        <v>790</v>
      </c>
      <c r="D392" s="9" t="s">
        <v>791</v>
      </c>
      <c r="E392" s="10" t="str">
        <f>HYPERLINK("https://twitter.com/serpetx/status/1071343304636284929","1071343304636284929")</f>
        <v>1071343304636284929</v>
      </c>
      <c r="F392" s="18" t="s">
        <v>793</v>
      </c>
      <c r="G392" s="11"/>
      <c r="H392" s="11"/>
      <c r="I392" s="13">
        <v>0</v>
      </c>
      <c r="J392" s="13">
        <v>0</v>
      </c>
      <c r="K392" s="14" t="str">
        <f>HYPERLINK("http://twitter.com","Twitter Web Client")</f>
        <v>Twitter Web Client</v>
      </c>
      <c r="L392" s="13">
        <v>83</v>
      </c>
      <c r="M392" s="13">
        <v>266</v>
      </c>
      <c r="N392" s="13">
        <v>2</v>
      </c>
      <c r="O392" s="15"/>
      <c r="P392" s="6">
        <v>42346.75273148148</v>
      </c>
      <c r="Q392" s="18" t="s">
        <v>42</v>
      </c>
      <c r="R392" s="19" t="s">
        <v>796</v>
      </c>
      <c r="S392" s="11"/>
      <c r="T392" s="11"/>
      <c r="U392" s="10" t="str">
        <f>HYPERLINK("https://pbs.twimg.com/profile_images/904005477805293568/4azK4U7U.jpg","View")</f>
        <v>View</v>
      </c>
    </row>
    <row r="393" spans="1:21" ht="40.799999999999997">
      <c r="A393" s="6">
        <v>43442.457141203704</v>
      </c>
      <c r="B393" s="7" t="str">
        <f>HYPERLINK("https://twitter.com/LaurenArenos","@LaurenArenos")</f>
        <v>@LaurenArenos</v>
      </c>
      <c r="C393" s="8" t="s">
        <v>2488</v>
      </c>
      <c r="D393" s="9" t="s">
        <v>2610</v>
      </c>
      <c r="E393" s="10" t="str">
        <f>HYPERLINK("https://twitter.com/LaurenArenos/status/1071343198440747008","1071343198440747008")</f>
        <v>1071343198440747008</v>
      </c>
      <c r="F393" s="12" t="s">
        <v>290</v>
      </c>
      <c r="G393" s="11"/>
      <c r="H393" s="11"/>
      <c r="I393" s="13">
        <v>0</v>
      </c>
      <c r="J393" s="13">
        <v>0</v>
      </c>
      <c r="K393" s="14" t="str">
        <f t="shared" ref="K393:K394" si="73">HYPERLINK("http://twitter.com/download/android","Twitter for Android")</f>
        <v>Twitter for Android</v>
      </c>
      <c r="L393" s="13">
        <v>874</v>
      </c>
      <c r="M393" s="13">
        <v>1242</v>
      </c>
      <c r="N393" s="13">
        <v>0</v>
      </c>
      <c r="O393" s="15"/>
      <c r="P393" s="6">
        <v>43268.977326388893</v>
      </c>
      <c r="Q393" s="11"/>
      <c r="R393" s="19" t="s">
        <v>2493</v>
      </c>
      <c r="S393" s="11"/>
      <c r="T393" s="11"/>
      <c r="U393" s="10" t="str">
        <f>HYPERLINK("https://pbs.twimg.com/profile_images/1008462268663828480/RBvgbkmL.jpg","View")</f>
        <v>View</v>
      </c>
    </row>
    <row r="394" spans="1:21" ht="40.799999999999997">
      <c r="A394" s="6">
        <v>43442.456412037034</v>
      </c>
      <c r="B394" s="7" t="str">
        <f>HYPERLINK("https://twitter.com/alexlopezhern","@alexlopezhern")</f>
        <v>@alexlopezhern</v>
      </c>
      <c r="C394" s="8" t="s">
        <v>2617</v>
      </c>
      <c r="D394" s="9" t="s">
        <v>2618</v>
      </c>
      <c r="E394" s="10" t="str">
        <f>HYPERLINK("https://twitter.com/alexlopezhern/status/1071342934472187905","1071342934472187905")</f>
        <v>1071342934472187905</v>
      </c>
      <c r="F394" s="12" t="s">
        <v>2358</v>
      </c>
      <c r="G394" s="11"/>
      <c r="H394" s="11"/>
      <c r="I394" s="13">
        <v>0</v>
      </c>
      <c r="J394" s="13">
        <v>0</v>
      </c>
      <c r="K394" s="14" t="str">
        <f t="shared" si="73"/>
        <v>Twitter for Android</v>
      </c>
      <c r="L394" s="13">
        <v>270</v>
      </c>
      <c r="M394" s="13">
        <v>271</v>
      </c>
      <c r="N394" s="13">
        <v>4</v>
      </c>
      <c r="O394" s="15"/>
      <c r="P394" s="6">
        <v>40848.922013888892</v>
      </c>
      <c r="Q394" s="18" t="s">
        <v>2622</v>
      </c>
      <c r="R394" s="19" t="s">
        <v>2623</v>
      </c>
      <c r="S394" s="12" t="s">
        <v>2624</v>
      </c>
      <c r="T394" s="11"/>
      <c r="U394" s="10" t="str">
        <f>HYPERLINK("https://pbs.twimg.com/profile_images/1006596509503279104/z82D7z_F.jpg","View")</f>
        <v>View</v>
      </c>
    </row>
    <row r="395" spans="1:21" ht="20.399999999999999">
      <c r="A395" s="6">
        <v>43442.455740740741</v>
      </c>
      <c r="B395" s="7" t="str">
        <f>HYPERLINK("https://twitter.com/MjgpAzucena","@MjgpAzucena")</f>
        <v>@MjgpAzucena</v>
      </c>
      <c r="C395" s="8" t="s">
        <v>2629</v>
      </c>
      <c r="D395" s="9" t="s">
        <v>694</v>
      </c>
      <c r="E395" s="10" t="str">
        <f>HYPERLINK("https://twitter.com/MjgpAzucena/status/1071342691013812225","1071342691013812225")</f>
        <v>1071342691013812225</v>
      </c>
      <c r="F395" s="12" t="s">
        <v>697</v>
      </c>
      <c r="G395" s="11"/>
      <c r="H395" s="11"/>
      <c r="I395" s="13">
        <v>0</v>
      </c>
      <c r="J395" s="13">
        <v>0</v>
      </c>
      <c r="K395" s="14" t="str">
        <f>HYPERLINK("http://twitter.com/#!/download/ipad","Twitter for iPad")</f>
        <v>Twitter for iPad</v>
      </c>
      <c r="L395" s="13">
        <v>558</v>
      </c>
      <c r="M395" s="13">
        <v>727</v>
      </c>
      <c r="N395" s="13">
        <v>19</v>
      </c>
      <c r="O395" s="15"/>
      <c r="P395" s="6">
        <v>41658.904513888891</v>
      </c>
      <c r="Q395" s="11"/>
      <c r="R395" s="17"/>
      <c r="S395" s="11"/>
      <c r="T395" s="11"/>
      <c r="U395" s="10" t="str">
        <f>HYPERLINK("https://pbs.twimg.com/profile_images/850791107772510208/eVa4stQI.jpg","View")</f>
        <v>View</v>
      </c>
    </row>
    <row r="396" spans="1:21" ht="51">
      <c r="A396" s="6">
        <v>43442.455439814818</v>
      </c>
      <c r="B396" s="7" t="str">
        <f>HYPERLINK("https://twitter.com/bio_liber","@bio_liber")</f>
        <v>@bio_liber</v>
      </c>
      <c r="C396" s="8" t="s">
        <v>2633</v>
      </c>
      <c r="D396" s="21" t="s">
        <v>2634</v>
      </c>
      <c r="E396" s="10" t="str">
        <f>HYPERLINK("https://twitter.com/bio_liber/status/1071342578887483392","1071342578887483392")</f>
        <v>1071342578887483392</v>
      </c>
      <c r="F396" s="12" t="s">
        <v>2635</v>
      </c>
      <c r="G396" s="11"/>
      <c r="H396" s="11"/>
      <c r="I396" s="13">
        <v>1</v>
      </c>
      <c r="J396" s="13">
        <v>1</v>
      </c>
      <c r="K396" s="14" t="str">
        <f>HYPERLINK("http://twitter.com","Twitter Web Client")</f>
        <v>Twitter Web Client</v>
      </c>
      <c r="L396" s="13">
        <v>7</v>
      </c>
      <c r="M396" s="13">
        <v>11</v>
      </c>
      <c r="N396" s="13">
        <v>0</v>
      </c>
      <c r="O396" s="15"/>
      <c r="P396" s="6">
        <v>43418.645428240736</v>
      </c>
      <c r="Q396" s="18" t="s">
        <v>100</v>
      </c>
      <c r="R396" s="19" t="s">
        <v>2636</v>
      </c>
      <c r="S396" s="11"/>
      <c r="T396" s="11"/>
      <c r="U396" s="10" t="str">
        <f>HYPERLINK("https://pbs.twimg.com/profile_images/1062715273327783938/biFrhyW0.jpg","View")</f>
        <v>View</v>
      </c>
    </row>
    <row r="397" spans="1:21" ht="51">
      <c r="A397" s="6">
        <v>43442.45511574074</v>
      </c>
      <c r="B397" s="7" t="str">
        <f>HYPERLINK("https://twitter.com/carloscuestaEM","@carloscuestaEM")</f>
        <v>@carloscuestaEM</v>
      </c>
      <c r="C397" s="8" t="s">
        <v>2638</v>
      </c>
      <c r="D397" s="9" t="s">
        <v>2639</v>
      </c>
      <c r="E397" s="10" t="str">
        <f>HYPERLINK("https://twitter.com/carloscuestaEM/status/1071342464055853056","1071342464055853056")</f>
        <v>1071342464055853056</v>
      </c>
      <c r="F397" s="12" t="s">
        <v>2640</v>
      </c>
      <c r="G397" s="11"/>
      <c r="H397" s="11"/>
      <c r="I397" s="13">
        <v>127</v>
      </c>
      <c r="J397" s="13">
        <v>217</v>
      </c>
      <c r="K397" s="14" t="str">
        <f>HYPERLINK("http://twitter.com/#!/download/ipad","Twitter for iPad")</f>
        <v>Twitter for iPad</v>
      </c>
      <c r="L397" s="13">
        <v>149977</v>
      </c>
      <c r="M397" s="13">
        <v>243</v>
      </c>
      <c r="N397" s="13">
        <v>1438</v>
      </c>
      <c r="O397" s="16" t="s">
        <v>25</v>
      </c>
      <c r="P397" s="6">
        <v>40197.761249999996</v>
      </c>
      <c r="Q397" s="18" t="s">
        <v>307</v>
      </c>
      <c r="R397" s="19" t="s">
        <v>2641</v>
      </c>
      <c r="S397" s="11"/>
      <c r="T397" s="11"/>
      <c r="U397" s="10" t="str">
        <f>HYPERLINK("https://pbs.twimg.com/profile_images/1069974824741687296/y7WdyuFj.jpg","View")</f>
        <v>View</v>
      </c>
    </row>
    <row r="398" spans="1:21" ht="20.399999999999999">
      <c r="A398" s="6">
        <v>43442.453634259262</v>
      </c>
      <c r="B398" s="7" t="str">
        <f>HYPERLINK("https://twitter.com/ElectronicJMDJ","@ElectronicJMDJ")</f>
        <v>@ElectronicJMDJ</v>
      </c>
      <c r="C398" s="8" t="s">
        <v>2642</v>
      </c>
      <c r="D398" s="9" t="s">
        <v>2643</v>
      </c>
      <c r="E398" s="10" t="str">
        <f>HYPERLINK("https://twitter.com/ElectronicJMDJ/status/1071341926744551424","1071341926744551424")</f>
        <v>1071341926744551424</v>
      </c>
      <c r="F398" s="12" t="s">
        <v>2646</v>
      </c>
      <c r="G398" s="11"/>
      <c r="H398" s="11"/>
      <c r="I398" s="13">
        <v>0</v>
      </c>
      <c r="J398" s="13">
        <v>0</v>
      </c>
      <c r="K398" s="14" t="str">
        <f>HYPERLINK("http://www.facebook.com/twitter","Facebook")</f>
        <v>Facebook</v>
      </c>
      <c r="L398" s="13">
        <v>599</v>
      </c>
      <c r="M398" s="13">
        <v>1112</v>
      </c>
      <c r="N398" s="13">
        <v>9</v>
      </c>
      <c r="O398" s="15"/>
      <c r="P398" s="6">
        <v>41018.066562499997</v>
      </c>
      <c r="Q398" s="18" t="s">
        <v>1430</v>
      </c>
      <c r="R398" s="19" t="s">
        <v>2648</v>
      </c>
      <c r="S398" s="12" t="s">
        <v>2649</v>
      </c>
      <c r="T398" s="11"/>
      <c r="U398" s="10" t="str">
        <f>HYPERLINK("https://pbs.twimg.com/profile_images/720275865435770881/IrdULhiQ.jpg","View")</f>
        <v>View</v>
      </c>
    </row>
    <row r="399" spans="1:21" ht="40.799999999999997">
      <c r="A399" s="6">
        <v>43442.453055555554</v>
      </c>
      <c r="B399" s="7" t="str">
        <f>HYPERLINK("https://twitter.com/oyd_y","@oyd_y")</f>
        <v>@oyd_y</v>
      </c>
      <c r="C399" s="8" t="s">
        <v>241</v>
      </c>
      <c r="D399" s="9" t="s">
        <v>799</v>
      </c>
      <c r="E399" s="10" t="str">
        <f>HYPERLINK("https://twitter.com/oyd_y/status/1071341718539247616","1071341718539247616")</f>
        <v>1071341718539247616</v>
      </c>
      <c r="F399" s="12" t="s">
        <v>800</v>
      </c>
      <c r="G399" s="12" t="s">
        <v>801</v>
      </c>
      <c r="H399" s="11"/>
      <c r="I399" s="13">
        <v>0</v>
      </c>
      <c r="J399" s="13">
        <v>0</v>
      </c>
      <c r="K399" s="14" t="str">
        <f>HYPERLINK("http://twitter.com/#!/download/ipad","Twitter for iPad")</f>
        <v>Twitter for iPad</v>
      </c>
      <c r="L399" s="13">
        <v>216</v>
      </c>
      <c r="M399" s="13">
        <v>466</v>
      </c>
      <c r="N399" s="13">
        <v>5</v>
      </c>
      <c r="O399" s="15"/>
      <c r="P399" s="6">
        <v>42931.705555555556</v>
      </c>
      <c r="Q399" s="18" t="s">
        <v>26</v>
      </c>
      <c r="R399" s="19" t="s">
        <v>247</v>
      </c>
      <c r="S399" s="12" t="s">
        <v>248</v>
      </c>
      <c r="T399" s="11"/>
      <c r="U399" s="10" t="str">
        <f>HYPERLINK("https://pbs.twimg.com/profile_images/990230336578695168/fZqhg4_G.jpg","View")</f>
        <v>View</v>
      </c>
    </row>
    <row r="400" spans="1:21" ht="51">
      <c r="A400" s="6">
        <v>43442.4528587963</v>
      </c>
      <c r="B400" s="7" t="str">
        <f>HYPERLINK("https://twitter.com/jclgarcia","@jclgarcia")</f>
        <v>@jclgarcia</v>
      </c>
      <c r="C400" s="8" t="s">
        <v>802</v>
      </c>
      <c r="D400" s="9" t="s">
        <v>803</v>
      </c>
      <c r="E400" s="10" t="str">
        <f>HYPERLINK("https://twitter.com/jclgarcia/status/1071341644002353152","1071341644002353152")</f>
        <v>1071341644002353152</v>
      </c>
      <c r="F400" s="12" t="s">
        <v>804</v>
      </c>
      <c r="G400" s="12" t="s">
        <v>805</v>
      </c>
      <c r="H400" s="11"/>
      <c r="I400" s="13">
        <v>0</v>
      </c>
      <c r="J400" s="13">
        <v>0</v>
      </c>
      <c r="K400" s="14" t="str">
        <f>HYPERLINK("http://twitter.com","Twitter Web Client")</f>
        <v>Twitter Web Client</v>
      </c>
      <c r="L400" s="13">
        <v>277</v>
      </c>
      <c r="M400" s="13">
        <v>344</v>
      </c>
      <c r="N400" s="13">
        <v>6</v>
      </c>
      <c r="O400" s="15"/>
      <c r="P400" s="6">
        <v>41176.488842592589</v>
      </c>
      <c r="Q400" s="18" t="s">
        <v>808</v>
      </c>
      <c r="R400" s="19" t="s">
        <v>810</v>
      </c>
      <c r="S400" s="11"/>
      <c r="T400" s="11"/>
      <c r="U400" s="10" t="str">
        <f>HYPERLINK("https://pbs.twimg.com/profile_images/1070626284613627904/BN3DvUgm.jpg","View")</f>
        <v>View</v>
      </c>
    </row>
    <row r="401" spans="1:21" ht="51">
      <c r="A401" s="6">
        <v>43442.4527662037</v>
      </c>
      <c r="B401" s="7" t="str">
        <f>HYPERLINK("https://twitter.com/Adrianmaltes61","@Adrianmaltes61")</f>
        <v>@Adrianmaltes61</v>
      </c>
      <c r="C401" s="8" t="s">
        <v>2660</v>
      </c>
      <c r="D401" s="9" t="s">
        <v>2661</v>
      </c>
      <c r="E401" s="10" t="str">
        <f>HYPERLINK("https://twitter.com/Adrianmaltes61/status/1071341613409026050","1071341613409026050")</f>
        <v>1071341613409026050</v>
      </c>
      <c r="F401" s="12" t="s">
        <v>2662</v>
      </c>
      <c r="G401" s="11"/>
      <c r="H401" s="11"/>
      <c r="I401" s="13">
        <v>1</v>
      </c>
      <c r="J401" s="13">
        <v>1</v>
      </c>
      <c r="K401" s="14" t="str">
        <f>HYPERLINK("http://twitter.com/download/android","Twitter for Android")</f>
        <v>Twitter for Android</v>
      </c>
      <c r="L401" s="13">
        <v>1687</v>
      </c>
      <c r="M401" s="13">
        <v>1731</v>
      </c>
      <c r="N401" s="13">
        <v>6</v>
      </c>
      <c r="O401" s="15"/>
      <c r="P401" s="6">
        <v>43064.801481481481</v>
      </c>
      <c r="Q401" s="11"/>
      <c r="R401" s="19" t="s">
        <v>2663</v>
      </c>
      <c r="S401" s="11"/>
      <c r="T401" s="11"/>
      <c r="U401" s="10" t="str">
        <f>HYPERLINK("https://pbs.twimg.com/profile_images/1064909553232486400/qrYknXxF.jpg","View")</f>
        <v>View</v>
      </c>
    </row>
    <row r="402" spans="1:21" ht="20.399999999999999">
      <c r="A402" s="6">
        <v>43442.452326388884</v>
      </c>
      <c r="B402" s="7" t="str">
        <f>HYPERLINK("https://twitter.com/durracape","@durracape")</f>
        <v>@durracape</v>
      </c>
      <c r="C402" s="8" t="s">
        <v>2666</v>
      </c>
      <c r="D402" s="9" t="s">
        <v>2667</v>
      </c>
      <c r="E402" s="10" t="str">
        <f>HYPERLINK("https://twitter.com/durracape/status/1071341452410716160","1071341452410716160")</f>
        <v>1071341452410716160</v>
      </c>
      <c r="F402" s="12" t="s">
        <v>290</v>
      </c>
      <c r="G402" s="11"/>
      <c r="H402" s="11"/>
      <c r="I402" s="13">
        <v>1</v>
      </c>
      <c r="J402" s="13">
        <v>1</v>
      </c>
      <c r="K402" s="14" t="str">
        <f t="shared" ref="K402:K403" si="74">HYPERLINK("http://twitter.com/#!/download/ipad","Twitter for iPad")</f>
        <v>Twitter for iPad</v>
      </c>
      <c r="L402" s="13">
        <v>581</v>
      </c>
      <c r="M402" s="13">
        <v>470</v>
      </c>
      <c r="N402" s="13">
        <v>6</v>
      </c>
      <c r="O402" s="15"/>
      <c r="P402" s="6">
        <v>40873.682013888887</v>
      </c>
      <c r="Q402" s="18" t="s">
        <v>1325</v>
      </c>
      <c r="R402" s="17"/>
      <c r="S402" s="11"/>
      <c r="T402" s="11"/>
      <c r="U402" s="10" t="str">
        <f>HYPERLINK("https://pbs.twimg.com/profile_images/899902255289311232/uqtf1WNv.jpg","View")</f>
        <v>View</v>
      </c>
    </row>
    <row r="403" spans="1:21" ht="30.6">
      <c r="A403" s="6">
        <v>43442.45149305556</v>
      </c>
      <c r="B403" s="7" t="str">
        <f>HYPERLINK("https://twitter.com/JuanUsategui","@JuanUsategui")</f>
        <v>@JuanUsategui</v>
      </c>
      <c r="C403" s="8" t="s">
        <v>2674</v>
      </c>
      <c r="D403" s="9" t="s">
        <v>2675</v>
      </c>
      <c r="E403" s="10" t="str">
        <f>HYPERLINK("https://twitter.com/JuanUsategui/status/1071341148545933314","1071341148545933314")</f>
        <v>1071341148545933314</v>
      </c>
      <c r="F403" s="11"/>
      <c r="G403" s="11"/>
      <c r="H403" s="11"/>
      <c r="I403" s="13">
        <v>0</v>
      </c>
      <c r="J403" s="13">
        <v>1</v>
      </c>
      <c r="K403" s="14" t="str">
        <f t="shared" si="74"/>
        <v>Twitter for iPad</v>
      </c>
      <c r="L403" s="13">
        <v>228</v>
      </c>
      <c r="M403" s="13">
        <v>667</v>
      </c>
      <c r="N403" s="13">
        <v>0</v>
      </c>
      <c r="O403" s="15"/>
      <c r="P403" s="6">
        <v>42428.040138888886</v>
      </c>
      <c r="Q403" s="18" t="s">
        <v>173</v>
      </c>
      <c r="R403" s="19" t="s">
        <v>2678</v>
      </c>
      <c r="S403" s="11"/>
      <c r="T403" s="11"/>
      <c r="U403" s="10" t="str">
        <f>HYPERLINK("https://pbs.twimg.com/profile_images/704070459042762752/SxNaT3nk.jpg","View")</f>
        <v>View</v>
      </c>
    </row>
    <row r="404" spans="1:21" ht="30.6">
      <c r="A404" s="6">
        <v>43442.450706018513</v>
      </c>
      <c r="B404" s="7" t="str">
        <f>HYPERLINK("https://twitter.com/beasf99","@beasf99")</f>
        <v>@beasf99</v>
      </c>
      <c r="C404" s="8" t="s">
        <v>2680</v>
      </c>
      <c r="D404" s="9" t="s">
        <v>2681</v>
      </c>
      <c r="E404" s="10" t="str">
        <f>HYPERLINK("https://twitter.com/beasf99/status/1071340865292001280","1071340865292001280")</f>
        <v>1071340865292001280</v>
      </c>
      <c r="F404" s="12" t="s">
        <v>2684</v>
      </c>
      <c r="G404" s="11"/>
      <c r="H404" s="11"/>
      <c r="I404" s="13">
        <v>0</v>
      </c>
      <c r="J404" s="13">
        <v>3</v>
      </c>
      <c r="K404" s="14" t="str">
        <f t="shared" ref="K404:K405" si="75">HYPERLINK("http://twitter.com","Twitter Web Client")</f>
        <v>Twitter Web Client</v>
      </c>
      <c r="L404" s="13">
        <v>406</v>
      </c>
      <c r="M404" s="13">
        <v>557</v>
      </c>
      <c r="N404" s="13">
        <v>6</v>
      </c>
      <c r="O404" s="15"/>
      <c r="P404" s="6">
        <v>41524.858703703707</v>
      </c>
      <c r="Q404" s="18" t="s">
        <v>2685</v>
      </c>
      <c r="R404" s="19" t="s">
        <v>2686</v>
      </c>
      <c r="S404" s="12" t="s">
        <v>2687</v>
      </c>
      <c r="T404" s="11"/>
      <c r="U404" s="10" t="str">
        <f>HYPERLINK("https://pbs.twimg.com/profile_images/378800000428880699/1492fa86f2f2f0fd8a5e76f446a747c8.jpeg","View")</f>
        <v>View</v>
      </c>
    </row>
    <row r="405" spans="1:21" ht="40.799999999999997">
      <c r="A405" s="6">
        <v>43442.450300925921</v>
      </c>
      <c r="B405" s="7" t="str">
        <f>HYPERLINK("https://twitter.com/WikyLady","@WikyLady")</f>
        <v>@WikyLady</v>
      </c>
      <c r="C405" s="8" t="s">
        <v>812</v>
      </c>
      <c r="D405" s="9" t="s">
        <v>814</v>
      </c>
      <c r="E405" s="10" t="str">
        <f>HYPERLINK("https://twitter.com/WikyLady/status/1071340718315241474","1071340718315241474")</f>
        <v>1071340718315241474</v>
      </c>
      <c r="F405" s="11"/>
      <c r="G405" s="11"/>
      <c r="H405" s="11"/>
      <c r="I405" s="13">
        <v>2</v>
      </c>
      <c r="J405" s="13">
        <v>4</v>
      </c>
      <c r="K405" s="14" t="str">
        <f t="shared" si="75"/>
        <v>Twitter Web Client</v>
      </c>
      <c r="L405" s="13">
        <v>100</v>
      </c>
      <c r="M405" s="13">
        <v>102</v>
      </c>
      <c r="N405" s="13">
        <v>0</v>
      </c>
      <c r="O405" s="15"/>
      <c r="P405" s="6">
        <v>43340.494351851856</v>
      </c>
      <c r="Q405" s="11"/>
      <c r="R405" s="19" t="s">
        <v>816</v>
      </c>
      <c r="S405" s="11"/>
      <c r="T405" s="11"/>
      <c r="U405" s="10" t="str">
        <f>HYPERLINK("https://pbs.twimg.com/profile_images/1034430773246521344/gyN7Hbj_.jpg","View")</f>
        <v>View</v>
      </c>
    </row>
    <row r="406" spans="1:21" ht="30.6">
      <c r="A406" s="6">
        <v>43442.449652777781</v>
      </c>
      <c r="B406" s="7" t="str">
        <f>HYPERLINK("https://twitter.com/ElHuffPost","@ElHuffPost")</f>
        <v>@ElHuffPost</v>
      </c>
      <c r="C406" s="8" t="s">
        <v>517</v>
      </c>
      <c r="D406" s="9" t="s">
        <v>817</v>
      </c>
      <c r="E406" s="10" t="str">
        <f>HYPERLINK("https://twitter.com/ElHuffPost/status/1071340481760690177","1071340481760690177")</f>
        <v>1071340481760690177</v>
      </c>
      <c r="F406" s="12" t="s">
        <v>818</v>
      </c>
      <c r="G406" s="11"/>
      <c r="H406" s="11"/>
      <c r="I406" s="13">
        <v>2</v>
      </c>
      <c r="J406" s="13">
        <v>3</v>
      </c>
      <c r="K406" s="14" t="str">
        <f>HYPERLINK("http://twitter.com/download/iphone","Twitter for iPhone")</f>
        <v>Twitter for iPhone</v>
      </c>
      <c r="L406" s="13">
        <v>431181</v>
      </c>
      <c r="M406" s="13">
        <v>1551</v>
      </c>
      <c r="N406" s="13">
        <v>8205</v>
      </c>
      <c r="O406" s="16" t="s">
        <v>25</v>
      </c>
      <c r="P406" s="6">
        <v>40785.027118055557</v>
      </c>
      <c r="Q406" s="18" t="s">
        <v>100</v>
      </c>
      <c r="R406" s="19" t="s">
        <v>523</v>
      </c>
      <c r="S406" s="12" t="s">
        <v>524</v>
      </c>
      <c r="T406" s="11"/>
      <c r="U406" s="10" t="str">
        <f>HYPERLINK("https://pbs.twimg.com/profile_images/921140803422089217/ETOEUOAx.jpg","View")</f>
        <v>View</v>
      </c>
    </row>
    <row r="407" spans="1:21" ht="30.6">
      <c r="A407" s="6">
        <v>43442.449606481481</v>
      </c>
      <c r="B407" s="7" t="str">
        <f>HYPERLINK("https://twitter.com/karlseta_2","@karlseta_2")</f>
        <v>@karlseta_2</v>
      </c>
      <c r="C407" s="8" t="s">
        <v>652</v>
      </c>
      <c r="D407" s="9" t="s">
        <v>823</v>
      </c>
      <c r="E407" s="10" t="str">
        <f>HYPERLINK("https://twitter.com/karlseta_2/status/1071340468582129664","1071340468582129664")</f>
        <v>1071340468582129664</v>
      </c>
      <c r="F407" s="12" t="s">
        <v>825</v>
      </c>
      <c r="G407" s="11"/>
      <c r="H407" s="11"/>
      <c r="I407" s="13">
        <v>1</v>
      </c>
      <c r="J407" s="13">
        <v>2</v>
      </c>
      <c r="K407" s="14" t="str">
        <f>HYPERLINK("http://twitter.com/download/android","Twitter for Android")</f>
        <v>Twitter for Android</v>
      </c>
      <c r="L407" s="13">
        <v>1237</v>
      </c>
      <c r="M407" s="13">
        <v>1135</v>
      </c>
      <c r="N407" s="13">
        <v>0</v>
      </c>
      <c r="O407" s="15"/>
      <c r="P407" s="6">
        <v>43209.593599537038</v>
      </c>
      <c r="Q407" s="18" t="s">
        <v>655</v>
      </c>
      <c r="R407" s="19" t="s">
        <v>656</v>
      </c>
      <c r="S407" s="11"/>
      <c r="T407" s="11"/>
      <c r="U407" s="10" t="str">
        <f>HYPERLINK("https://pbs.twimg.com/profile_images/1057562733988798464/NVHu_6Bc.jpg","View")</f>
        <v>View</v>
      </c>
    </row>
    <row r="408" spans="1:21" ht="30.6">
      <c r="A408" s="6">
        <v>43442.449062500003</v>
      </c>
      <c r="B408" s="7" t="str">
        <f>HYPERLINK("https://twitter.com/JuanUsategui","@JuanUsategui")</f>
        <v>@JuanUsategui</v>
      </c>
      <c r="C408" s="8" t="s">
        <v>2674</v>
      </c>
      <c r="D408" s="9" t="s">
        <v>2702</v>
      </c>
      <c r="E408" s="10" t="str">
        <f>HYPERLINK("https://twitter.com/JuanUsategui/status/1071340271529590784","1071340271529590784")</f>
        <v>1071340271529590784</v>
      </c>
      <c r="F408" s="11"/>
      <c r="G408" s="11"/>
      <c r="H408" s="11"/>
      <c r="I408" s="13">
        <v>0</v>
      </c>
      <c r="J408" s="13">
        <v>0</v>
      </c>
      <c r="K408" s="14" t="str">
        <f>HYPERLINK("http://twitter.com/#!/download/ipad","Twitter for iPad")</f>
        <v>Twitter for iPad</v>
      </c>
      <c r="L408" s="13">
        <v>228</v>
      </c>
      <c r="M408" s="13">
        <v>667</v>
      </c>
      <c r="N408" s="13">
        <v>0</v>
      </c>
      <c r="O408" s="15"/>
      <c r="P408" s="6">
        <v>42428.040138888886</v>
      </c>
      <c r="Q408" s="18" t="s">
        <v>173</v>
      </c>
      <c r="R408" s="19" t="s">
        <v>2678</v>
      </c>
      <c r="S408" s="11"/>
      <c r="T408" s="11"/>
      <c r="U408" s="10" t="str">
        <f>HYPERLINK("https://pbs.twimg.com/profile_images/704070459042762752/SxNaT3nk.jpg","View")</f>
        <v>View</v>
      </c>
    </row>
    <row r="409" spans="1:21" ht="30.6">
      <c r="A409" s="6">
        <v>43442.44804398148</v>
      </c>
      <c r="B409" s="7" t="str">
        <f>HYPERLINK("https://twitter.com/cabalmartinez8","@cabalmartinez8")</f>
        <v>@cabalmartinez8</v>
      </c>
      <c r="C409" s="8" t="s">
        <v>2710</v>
      </c>
      <c r="D409" s="9" t="s">
        <v>2711</v>
      </c>
      <c r="E409" s="10" t="str">
        <f>HYPERLINK("https://twitter.com/cabalmartinez8/status/1071339899293483009","1071339899293483009")</f>
        <v>1071339899293483009</v>
      </c>
      <c r="F409" s="12" t="s">
        <v>2713</v>
      </c>
      <c r="G409" s="11"/>
      <c r="H409" s="11"/>
      <c r="I409" s="13">
        <v>0</v>
      </c>
      <c r="J409" s="13">
        <v>0</v>
      </c>
      <c r="K409" s="14" t="str">
        <f t="shared" ref="K409:K411" si="76">HYPERLINK("http://twitter.com/download/android","Twitter for Android")</f>
        <v>Twitter for Android</v>
      </c>
      <c r="L409" s="13">
        <v>350</v>
      </c>
      <c r="M409" s="13">
        <v>141</v>
      </c>
      <c r="N409" s="13">
        <v>1</v>
      </c>
      <c r="O409" s="15"/>
      <c r="P409" s="6">
        <v>42860.801631944443</v>
      </c>
      <c r="Q409" s="18" t="s">
        <v>2716</v>
      </c>
      <c r="R409" s="19" t="s">
        <v>2717</v>
      </c>
      <c r="S409" s="12" t="s">
        <v>2718</v>
      </c>
      <c r="T409" s="11"/>
      <c r="U409" s="10" t="str">
        <f>HYPERLINK("https://pbs.twimg.com/profile_images/1068793593748430848/6TWGgsai.jpg","View")</f>
        <v>View</v>
      </c>
    </row>
    <row r="410" spans="1:21" ht="30.6">
      <c r="A410" s="6">
        <v>43442.447650462964</v>
      </c>
      <c r="B410" s="7" t="str">
        <f>HYPERLINK("https://twitter.com/algaba_mesa","@algaba_mesa")</f>
        <v>@algaba_mesa</v>
      </c>
      <c r="C410" s="8" t="s">
        <v>2720</v>
      </c>
      <c r="D410" s="9" t="s">
        <v>2721</v>
      </c>
      <c r="E410" s="10" t="str">
        <f>HYPERLINK("https://twitter.com/algaba_mesa/status/1071339756821377024","1071339756821377024")</f>
        <v>1071339756821377024</v>
      </c>
      <c r="F410" s="12" t="s">
        <v>280</v>
      </c>
      <c r="G410" s="11"/>
      <c r="H410" s="11"/>
      <c r="I410" s="13">
        <v>0</v>
      </c>
      <c r="J410" s="13">
        <v>0</v>
      </c>
      <c r="K410" s="14" t="str">
        <f t="shared" si="76"/>
        <v>Twitter for Android</v>
      </c>
      <c r="L410" s="13">
        <v>107</v>
      </c>
      <c r="M410" s="13">
        <v>278</v>
      </c>
      <c r="N410" s="13">
        <v>0</v>
      </c>
      <c r="O410" s="15"/>
      <c r="P410" s="6">
        <v>42621.945648148147</v>
      </c>
      <c r="Q410" s="18" t="s">
        <v>454</v>
      </c>
      <c r="R410" s="19" t="s">
        <v>2723</v>
      </c>
      <c r="S410" s="11"/>
      <c r="T410" s="11"/>
      <c r="U410" s="10" t="str">
        <f>HYPERLINK("https://pbs.twimg.com/profile_images/774239272010387456/1YhCtc3u.jpg","View")</f>
        <v>View</v>
      </c>
    </row>
    <row r="411" spans="1:21" ht="40.799999999999997">
      <c r="A411" s="6">
        <v>43442.446562500001</v>
      </c>
      <c r="B411" s="7" t="str">
        <f>HYPERLINK("https://twitter.com/Atur200","@Atur200")</f>
        <v>@Atur200</v>
      </c>
      <c r="C411" s="8" t="s">
        <v>2724</v>
      </c>
      <c r="D411" s="9" t="s">
        <v>2726</v>
      </c>
      <c r="E411" s="10" t="str">
        <f>HYPERLINK("https://twitter.com/Atur200/status/1071339363722768385","1071339363722768385")</f>
        <v>1071339363722768385</v>
      </c>
      <c r="F411" s="11"/>
      <c r="G411" s="11"/>
      <c r="H411" s="11"/>
      <c r="I411" s="13">
        <v>0</v>
      </c>
      <c r="J411" s="13">
        <v>0</v>
      </c>
      <c r="K411" s="14" t="str">
        <f t="shared" si="76"/>
        <v>Twitter for Android</v>
      </c>
      <c r="L411" s="13">
        <v>831</v>
      </c>
      <c r="M411" s="13">
        <v>423</v>
      </c>
      <c r="N411" s="13">
        <v>2</v>
      </c>
      <c r="O411" s="15"/>
      <c r="P411" s="6">
        <v>41798.844652777778</v>
      </c>
      <c r="Q411" s="18" t="s">
        <v>307</v>
      </c>
      <c r="R411" s="19" t="s">
        <v>2727</v>
      </c>
      <c r="S411" s="11"/>
      <c r="T411" s="11"/>
      <c r="U411" s="10" t="str">
        <f>HYPERLINK("https://pbs.twimg.com/profile_images/1042500104459087877/pYkbnFuV.jpg","View")</f>
        <v>View</v>
      </c>
    </row>
    <row r="412" spans="1:21" ht="40.799999999999997">
      <c r="A412" s="6">
        <v>43442.445763888885</v>
      </c>
      <c r="B412" s="7" t="str">
        <f>HYPERLINK("https://twitter.com/Jburpa","@Jburpa")</f>
        <v>@Jburpa</v>
      </c>
      <c r="C412" s="8" t="s">
        <v>2730</v>
      </c>
      <c r="D412" s="9" t="s">
        <v>106</v>
      </c>
      <c r="E412" s="10" t="str">
        <f>HYPERLINK("https://twitter.com/Jburpa/status/1071339072365432832","1071339072365432832")</f>
        <v>1071339072365432832</v>
      </c>
      <c r="F412" s="12" t="s">
        <v>112</v>
      </c>
      <c r="G412" s="11"/>
      <c r="H412" s="11"/>
      <c r="I412" s="13">
        <v>0</v>
      </c>
      <c r="J412" s="13">
        <v>0</v>
      </c>
      <c r="K412" s="14" t="str">
        <f>HYPERLINK("http://twitter.com/download/iphone","Twitter for iPhone")</f>
        <v>Twitter for iPhone</v>
      </c>
      <c r="L412" s="13">
        <v>704</v>
      </c>
      <c r="M412" s="13">
        <v>934</v>
      </c>
      <c r="N412" s="13">
        <v>1</v>
      </c>
      <c r="O412" s="15"/>
      <c r="P412" s="6">
        <v>40847.965277777781</v>
      </c>
      <c r="Q412" s="18" t="s">
        <v>42</v>
      </c>
      <c r="R412" s="19" t="s">
        <v>2732</v>
      </c>
      <c r="S412" s="11"/>
      <c r="T412" s="11"/>
      <c r="U412" s="10" t="str">
        <f>HYPERLINK("https://pbs.twimg.com/profile_images/1035078605578100736/QSNFKa5C.jpg","View")</f>
        <v>View</v>
      </c>
    </row>
    <row r="413" spans="1:21" ht="40.799999999999997">
      <c r="A413" s="6">
        <v>43442.443379629629</v>
      </c>
      <c r="B413" s="7" t="str">
        <f>HYPERLINK("https://twitter.com/minareal","@minareal")</f>
        <v>@minareal</v>
      </c>
      <c r="C413" s="8" t="s">
        <v>2735</v>
      </c>
      <c r="D413" s="9" t="s">
        <v>2736</v>
      </c>
      <c r="E413" s="10" t="str">
        <f>HYPERLINK("https://twitter.com/minareal/status/1071338210771550209","1071338210771550209")</f>
        <v>1071338210771550209</v>
      </c>
      <c r="F413" s="12" t="s">
        <v>2739</v>
      </c>
      <c r="G413" s="11"/>
      <c r="H413" s="11"/>
      <c r="I413" s="13">
        <v>0</v>
      </c>
      <c r="J413" s="13">
        <v>0</v>
      </c>
      <c r="K413" s="14" t="str">
        <f>HYPERLINK("http://twitter.com/download/android","Twitter for Android")</f>
        <v>Twitter for Android</v>
      </c>
      <c r="L413" s="13">
        <v>99</v>
      </c>
      <c r="M413" s="13">
        <v>309</v>
      </c>
      <c r="N413" s="13">
        <v>1</v>
      </c>
      <c r="O413" s="15"/>
      <c r="P413" s="6">
        <v>40556.84847222222</v>
      </c>
      <c r="Q413" s="18" t="s">
        <v>2741</v>
      </c>
      <c r="R413" s="19" t="s">
        <v>2742</v>
      </c>
      <c r="S413" s="11"/>
      <c r="T413" s="11"/>
      <c r="U413" s="10" t="str">
        <f>HYPERLINK("https://pbs.twimg.com/profile_images/1060264797005139968/EOy_w7s2.jpg","View")</f>
        <v>View</v>
      </c>
    </row>
    <row r="414" spans="1:21" ht="13.2">
      <c r="A414" s="6">
        <v>43442.442962962959</v>
      </c>
      <c r="B414" s="7" t="str">
        <f>HYPERLINK("https://twitter.com/JUANFRAN63","@JUANFRAN63")</f>
        <v>@JUANFRAN63</v>
      </c>
      <c r="C414" s="8" t="s">
        <v>2744</v>
      </c>
      <c r="D414" s="9" t="s">
        <v>347</v>
      </c>
      <c r="E414" s="10" t="str">
        <f>HYPERLINK("https://twitter.com/JUANFRAN63/status/1071338059860504577","1071338059860504577")</f>
        <v>1071338059860504577</v>
      </c>
      <c r="F414" s="12" t="s">
        <v>166</v>
      </c>
      <c r="G414" s="11"/>
      <c r="H414" s="11"/>
      <c r="I414" s="13">
        <v>0</v>
      </c>
      <c r="J414" s="13">
        <v>0</v>
      </c>
      <c r="K414" s="14" t="str">
        <f>HYPERLINK("http://www.facebook.com/twitter","Facebook")</f>
        <v>Facebook</v>
      </c>
      <c r="L414" s="13">
        <v>449</v>
      </c>
      <c r="M414" s="13">
        <v>771</v>
      </c>
      <c r="N414" s="13">
        <v>4</v>
      </c>
      <c r="O414" s="15"/>
      <c r="P414" s="6">
        <v>40192.021990740745</v>
      </c>
      <c r="Q414" s="18" t="s">
        <v>2748</v>
      </c>
      <c r="R414" s="17"/>
      <c r="S414" s="12" t="s">
        <v>2749</v>
      </c>
      <c r="T414" s="11"/>
      <c r="U414" s="10" t="str">
        <f>HYPERLINK("https://pbs.twimg.com/profile_images/378800000622250326/83274f2b2a395484f0052693a60cfcd8.jpeg","View")</f>
        <v>View</v>
      </c>
    </row>
    <row r="415" spans="1:21" ht="20.399999999999999">
      <c r="A415" s="6">
        <v>43442.442708333328</v>
      </c>
      <c r="B415" s="7" t="str">
        <f>HYPERLINK("https://twitter.com/PpcaballosPepe","@PpcaballosPepe")</f>
        <v>@PpcaballosPepe</v>
      </c>
      <c r="C415" s="8" t="s">
        <v>2752</v>
      </c>
      <c r="D415" s="9" t="s">
        <v>1524</v>
      </c>
      <c r="E415" s="10" t="str">
        <f>HYPERLINK("https://twitter.com/PpcaballosPepe/status/1071337965526413313","1071337965526413313")</f>
        <v>1071337965526413313</v>
      </c>
      <c r="F415" s="12" t="s">
        <v>1526</v>
      </c>
      <c r="G415" s="11"/>
      <c r="H415" s="11"/>
      <c r="I415" s="13">
        <v>0</v>
      </c>
      <c r="J415" s="13">
        <v>0</v>
      </c>
      <c r="K415" s="14" t="str">
        <f>HYPERLINK("http://twitter.com/download/android","Twitter for Android")</f>
        <v>Twitter for Android</v>
      </c>
      <c r="L415" s="13">
        <v>71</v>
      </c>
      <c r="M415" s="13">
        <v>205</v>
      </c>
      <c r="N415" s="13">
        <v>0</v>
      </c>
      <c r="O415" s="15"/>
      <c r="P415" s="6">
        <v>40963.386145833334</v>
      </c>
      <c r="Q415" s="11"/>
      <c r="R415" s="19" t="s">
        <v>2757</v>
      </c>
      <c r="S415" s="11"/>
      <c r="T415" s="11"/>
      <c r="U415" s="16" t="s">
        <v>191</v>
      </c>
    </row>
    <row r="416" spans="1:21" ht="71.400000000000006">
      <c r="A416" s="6">
        <v>43442.441157407404</v>
      </c>
      <c r="B416" s="7" t="str">
        <f>HYPERLINK("https://twitter.com/parrado46","@parrado46")</f>
        <v>@parrado46</v>
      </c>
      <c r="C416" s="8" t="s">
        <v>684</v>
      </c>
      <c r="D416" s="9" t="s">
        <v>831</v>
      </c>
      <c r="E416" s="10" t="str">
        <f>HYPERLINK("https://twitter.com/parrado46/status/1071337405964263424","1071337405964263424")</f>
        <v>1071337405964263424</v>
      </c>
      <c r="F416" s="12" t="s">
        <v>832</v>
      </c>
      <c r="G416" s="12" t="s">
        <v>835</v>
      </c>
      <c r="H416" s="11"/>
      <c r="I416" s="13">
        <v>0</v>
      </c>
      <c r="J416" s="13">
        <v>0</v>
      </c>
      <c r="K416" s="14" t="str">
        <f t="shared" ref="K416:K417" si="77">HYPERLINK("http://twitter.com/download/iphone","Twitter for iPhone")</f>
        <v>Twitter for iPhone</v>
      </c>
      <c r="L416" s="13">
        <v>86</v>
      </c>
      <c r="M416" s="13">
        <v>308</v>
      </c>
      <c r="N416" s="13">
        <v>0</v>
      </c>
      <c r="O416" s="15"/>
      <c r="P416" s="6">
        <v>41712.867245370369</v>
      </c>
      <c r="Q416" s="11"/>
      <c r="R416" s="19" t="s">
        <v>688</v>
      </c>
      <c r="S416" s="11"/>
      <c r="T416" s="11"/>
      <c r="U416" s="10" t="str">
        <f>HYPERLINK("https://pbs.twimg.com/profile_images/1047376665649799168/KNUtFOla.jpg","View")</f>
        <v>View</v>
      </c>
    </row>
    <row r="417" spans="1:21" ht="81.599999999999994">
      <c r="A417" s="6">
        <v>43442.441145833334</v>
      </c>
      <c r="B417" s="7" t="str">
        <f>HYPERLINK("https://twitter.com/comotelodije","@comotelodije")</f>
        <v>@comotelodije</v>
      </c>
      <c r="C417" s="8" t="s">
        <v>840</v>
      </c>
      <c r="D417" s="9" t="s">
        <v>841</v>
      </c>
      <c r="E417" s="10" t="str">
        <f>HYPERLINK("https://twitter.com/comotelodije/status/1071337401417650176","1071337401417650176")</f>
        <v>1071337401417650176</v>
      </c>
      <c r="F417" s="12" t="s">
        <v>842</v>
      </c>
      <c r="G417" s="12" t="s">
        <v>843</v>
      </c>
      <c r="H417" s="11"/>
      <c r="I417" s="13">
        <v>0</v>
      </c>
      <c r="J417" s="13">
        <v>0</v>
      </c>
      <c r="K417" s="14" t="str">
        <f t="shared" si="77"/>
        <v>Twitter for iPhone</v>
      </c>
      <c r="L417" s="13">
        <v>72</v>
      </c>
      <c r="M417" s="13">
        <v>265</v>
      </c>
      <c r="N417" s="13">
        <v>0</v>
      </c>
      <c r="O417" s="15"/>
      <c r="P417" s="6">
        <v>40871.842465277776</v>
      </c>
      <c r="Q417" s="18" t="s">
        <v>42</v>
      </c>
      <c r="R417" s="17"/>
      <c r="S417" s="11"/>
      <c r="T417" s="11"/>
      <c r="U417" s="10" t="str">
        <f>HYPERLINK("https://pbs.twimg.com/profile_images/876852367676895235/Zuqd9LpM.jpg","View")</f>
        <v>View</v>
      </c>
    </row>
    <row r="418" spans="1:21" ht="20.399999999999999">
      <c r="A418" s="6">
        <v>43442.440347222218</v>
      </c>
      <c r="B418" s="7" t="str">
        <f>HYPERLINK("https://twitter.com/SchwarkZegarra","@SchwarkZegarra")</f>
        <v>@SchwarkZegarra</v>
      </c>
      <c r="C418" s="8" t="s">
        <v>2766</v>
      </c>
      <c r="D418" s="9" t="s">
        <v>2767</v>
      </c>
      <c r="E418" s="10" t="str">
        <f>HYPERLINK("https://twitter.com/SchwarkZegarra/status/1071337112795054080","1071337112795054080")</f>
        <v>1071337112795054080</v>
      </c>
      <c r="F418" s="12" t="s">
        <v>2768</v>
      </c>
      <c r="G418" s="11"/>
      <c r="H418" s="11"/>
      <c r="I418" s="13">
        <v>0</v>
      </c>
      <c r="J418" s="13">
        <v>0</v>
      </c>
      <c r="K418" s="14" t="str">
        <f>HYPERLINK("http://twitter.com","Twitter Web Client")</f>
        <v>Twitter Web Client</v>
      </c>
      <c r="L418" s="13">
        <v>42</v>
      </c>
      <c r="M418" s="13">
        <v>56</v>
      </c>
      <c r="N418" s="13">
        <v>0</v>
      </c>
      <c r="O418" s="15"/>
      <c r="P418" s="6">
        <v>42987.571377314816</v>
      </c>
      <c r="Q418" s="11"/>
      <c r="R418" s="17"/>
      <c r="S418" s="11"/>
      <c r="T418" s="11"/>
      <c r="U418" s="16" t="s">
        <v>191</v>
      </c>
    </row>
    <row r="419" spans="1:21" ht="30.6">
      <c r="A419" s="6">
        <v>43442.439583333333</v>
      </c>
      <c r="B419" s="7" t="str">
        <f>HYPERLINK("https://twitter.com/ElHuffPost","@ElHuffPost")</f>
        <v>@ElHuffPost</v>
      </c>
      <c r="C419" s="8" t="s">
        <v>517</v>
      </c>
      <c r="D419" s="9" t="s">
        <v>518</v>
      </c>
      <c r="E419" s="10" t="str">
        <f>HYPERLINK("https://twitter.com/ElHuffPost/status/1071336833936551936","1071336833936551936")</f>
        <v>1071336833936551936</v>
      </c>
      <c r="F419" s="12" t="s">
        <v>521</v>
      </c>
      <c r="G419" s="11"/>
      <c r="H419" s="11"/>
      <c r="I419" s="13">
        <v>0</v>
      </c>
      <c r="J419" s="13">
        <v>1</v>
      </c>
      <c r="K419" s="14" t="str">
        <f>HYPERLINK("https://about.twitter.com/products/tweetdeck","TweetDeck")</f>
        <v>TweetDeck</v>
      </c>
      <c r="L419" s="13">
        <v>431181</v>
      </c>
      <c r="M419" s="13">
        <v>1551</v>
      </c>
      <c r="N419" s="13">
        <v>8205</v>
      </c>
      <c r="O419" s="16" t="s">
        <v>25</v>
      </c>
      <c r="P419" s="6">
        <v>40785.027118055557</v>
      </c>
      <c r="Q419" s="18" t="s">
        <v>100</v>
      </c>
      <c r="R419" s="19" t="s">
        <v>523</v>
      </c>
      <c r="S419" s="12" t="s">
        <v>524</v>
      </c>
      <c r="T419" s="11"/>
      <c r="U419" s="10" t="str">
        <f>HYPERLINK("https://pbs.twimg.com/profile_images/921140803422089217/ETOEUOAx.jpg","View")</f>
        <v>View</v>
      </c>
    </row>
    <row r="420" spans="1:21" ht="13.2">
      <c r="A420" s="6">
        <v>43442.439444444448</v>
      </c>
      <c r="B420" s="7" t="str">
        <f>HYPERLINK("https://twitter.com/Wuey328","@Wuey328")</f>
        <v>@Wuey328</v>
      </c>
      <c r="C420" s="8" t="s">
        <v>2774</v>
      </c>
      <c r="D420" s="9" t="s">
        <v>2775</v>
      </c>
      <c r="E420" s="10" t="str">
        <f>HYPERLINK("https://twitter.com/Wuey328/status/1071336784007700480","1071336784007700480")</f>
        <v>1071336784007700480</v>
      </c>
      <c r="F420" s="12" t="s">
        <v>2776</v>
      </c>
      <c r="G420" s="11"/>
      <c r="H420" s="11"/>
      <c r="I420" s="13">
        <v>1</v>
      </c>
      <c r="J420" s="13">
        <v>1</v>
      </c>
      <c r="K420" s="14" t="str">
        <f>HYPERLINK("http://twitter.com/download/android","Twitter for Android")</f>
        <v>Twitter for Android</v>
      </c>
      <c r="L420" s="13">
        <v>100</v>
      </c>
      <c r="M420" s="13">
        <v>557</v>
      </c>
      <c r="N420" s="13">
        <v>0</v>
      </c>
      <c r="O420" s="15"/>
      <c r="P420" s="6">
        <v>40979.978379629625</v>
      </c>
      <c r="Q420" s="11"/>
      <c r="R420" s="17"/>
      <c r="S420" s="11"/>
      <c r="T420" s="11"/>
      <c r="U420" s="10" t="str">
        <f>HYPERLINK("https://pbs.twimg.com/profile_images/378800000825906495/3b3af6acdd30dfa2a5ab289371985d92.jpeg","View")</f>
        <v>View</v>
      </c>
    </row>
    <row r="421" spans="1:21" ht="40.799999999999997">
      <c r="A421" s="6">
        <v>43442.438923611116</v>
      </c>
      <c r="B421" s="7" t="str">
        <f>HYPERLINK("https://twitter.com/J_CarlosNavarro","@J_CarlosNavarro")</f>
        <v>@J_CarlosNavarro</v>
      </c>
      <c r="C421" s="8" t="s">
        <v>845</v>
      </c>
      <c r="D421" s="9" t="s">
        <v>846</v>
      </c>
      <c r="E421" s="10" t="str">
        <f>HYPERLINK("https://twitter.com/J_CarlosNavarro/status/1071336597524758528","1071336597524758528")</f>
        <v>1071336597524758528</v>
      </c>
      <c r="F421" s="18" t="s">
        <v>847</v>
      </c>
      <c r="G421" s="11"/>
      <c r="H421" s="11"/>
      <c r="I421" s="13">
        <v>0</v>
      </c>
      <c r="J421" s="13">
        <v>0</v>
      </c>
      <c r="K421" s="14" t="str">
        <f>HYPERLINK("http://twitter.com","Twitter Web Client")</f>
        <v>Twitter Web Client</v>
      </c>
      <c r="L421" s="13">
        <v>1335</v>
      </c>
      <c r="M421" s="13">
        <v>983</v>
      </c>
      <c r="N421" s="13">
        <v>54</v>
      </c>
      <c r="O421" s="15"/>
      <c r="P421" s="6">
        <v>39654.473078703704</v>
      </c>
      <c r="Q421" s="18" t="s">
        <v>848</v>
      </c>
      <c r="R421" s="19" t="s">
        <v>849</v>
      </c>
      <c r="S421" s="12" t="s">
        <v>850</v>
      </c>
      <c r="T421" s="11"/>
      <c r="U421" s="10" t="str">
        <f>HYPERLINK("https://pbs.twimg.com/profile_images/1008402812659752961/oy3BC7MH.jpg","View")</f>
        <v>View</v>
      </c>
    </row>
    <row r="422" spans="1:21" ht="91.8">
      <c r="A422" s="6">
        <v>43442.438148148147</v>
      </c>
      <c r="B422" s="7" t="str">
        <f>HYPERLINK("https://twitter.com/CarminaReinadeE","@CarminaReinadeE")</f>
        <v>@CarminaReinadeE</v>
      </c>
      <c r="C422" s="8" t="s">
        <v>2783</v>
      </c>
      <c r="D422" s="9" t="s">
        <v>2784</v>
      </c>
      <c r="E422" s="10" t="str">
        <f>HYPERLINK("https://twitter.com/CarminaReinadeE/status/1071336312471515136","1071336312471515136")</f>
        <v>1071336312471515136</v>
      </c>
      <c r="F422" s="12" t="s">
        <v>2787</v>
      </c>
      <c r="G422" s="12" t="s">
        <v>2788</v>
      </c>
      <c r="H422" s="11"/>
      <c r="I422" s="13">
        <v>1</v>
      </c>
      <c r="J422" s="13">
        <v>0</v>
      </c>
      <c r="K422" s="14" t="str">
        <f>HYPERLINK("http://twitter.com/download/android","Twitter for Android")</f>
        <v>Twitter for Android</v>
      </c>
      <c r="L422" s="13">
        <v>593</v>
      </c>
      <c r="M422" s="13">
        <v>399</v>
      </c>
      <c r="N422" s="13">
        <v>13</v>
      </c>
      <c r="O422" s="15"/>
      <c r="P422" s="6">
        <v>41294.687337962961</v>
      </c>
      <c r="Q422" s="11"/>
      <c r="R422" s="19" t="s">
        <v>2791</v>
      </c>
      <c r="S422" s="12" t="s">
        <v>2792</v>
      </c>
      <c r="T422" s="11"/>
      <c r="U422" s="10" t="str">
        <f>HYPERLINK("https://pbs.twimg.com/profile_images/451778808375693312/_ei78tYZ.jpeg","View")</f>
        <v>View</v>
      </c>
    </row>
    <row r="423" spans="1:21" ht="40.799999999999997">
      <c r="A423" s="6">
        <v>43442.4375</v>
      </c>
      <c r="B423" s="7" t="str">
        <f>HYPERLINK("https://twitter.com/larazon_es","@larazon_es")</f>
        <v>@larazon_es</v>
      </c>
      <c r="C423" s="8" t="s">
        <v>87</v>
      </c>
      <c r="D423" s="9" t="s">
        <v>88</v>
      </c>
      <c r="E423" s="10" t="str">
        <f>HYPERLINK("https://twitter.com/larazon_es/status/1071336078655832065","1071336078655832065")</f>
        <v>1071336078655832065</v>
      </c>
      <c r="F423" s="12" t="s">
        <v>853</v>
      </c>
      <c r="G423" s="12" t="s">
        <v>855</v>
      </c>
      <c r="H423" s="11"/>
      <c r="I423" s="13">
        <v>39</v>
      </c>
      <c r="J423" s="13">
        <v>34</v>
      </c>
      <c r="K423" s="14" t="str">
        <f>HYPERLINK("http://dogtrack.es","DogTrack_Oficial")</f>
        <v>DogTrack_Oficial</v>
      </c>
      <c r="L423" s="13">
        <v>442246</v>
      </c>
      <c r="M423" s="13">
        <v>2961</v>
      </c>
      <c r="N423" s="13">
        <v>6161</v>
      </c>
      <c r="O423" s="16" t="s">
        <v>25</v>
      </c>
      <c r="P423" s="6">
        <v>40218.530092592591</v>
      </c>
      <c r="Q423" s="18" t="s">
        <v>42</v>
      </c>
      <c r="R423" s="19" t="s">
        <v>93</v>
      </c>
      <c r="S423" s="12" t="s">
        <v>94</v>
      </c>
      <c r="T423" s="11"/>
      <c r="U423" s="10" t="str">
        <f>HYPERLINK("https://pbs.twimg.com/profile_images/1038331271108341762/TPuwz6wc.jpg","View")</f>
        <v>View</v>
      </c>
    </row>
    <row r="424" spans="1:21" ht="30.6">
      <c r="A424" s="6">
        <v>43442.4375</v>
      </c>
      <c r="B424" s="7" t="str">
        <f>HYPERLINK("https://twitter.com/randomsigfrid","@randomsigfrid")</f>
        <v>@randomsigfrid</v>
      </c>
      <c r="C424" s="8" t="s">
        <v>577</v>
      </c>
      <c r="D424" s="9" t="s">
        <v>2804</v>
      </c>
      <c r="E424" s="10" t="str">
        <f>HYPERLINK("https://twitter.com/randomsigfrid/status/1071336078341230593","1071336078341230593")</f>
        <v>1071336078341230593</v>
      </c>
      <c r="F424" s="11"/>
      <c r="G424" s="11"/>
      <c r="H424" s="11"/>
      <c r="I424" s="13">
        <v>0</v>
      </c>
      <c r="J424" s="13">
        <v>0</v>
      </c>
      <c r="K424" s="14" t="str">
        <f>HYPERLINK("http://google.es","Sigfrid SorIA")</f>
        <v>Sigfrid SorIA</v>
      </c>
      <c r="L424" s="13">
        <v>85</v>
      </c>
      <c r="M424" s="13">
        <v>0</v>
      </c>
      <c r="N424" s="13">
        <v>10</v>
      </c>
      <c r="O424" s="15"/>
      <c r="P424" s="6">
        <v>42073.939733796295</v>
      </c>
      <c r="Q424" s="18" t="s">
        <v>583</v>
      </c>
      <c r="R424" s="19" t="s">
        <v>584</v>
      </c>
      <c r="S424" s="12" t="s">
        <v>585</v>
      </c>
      <c r="T424" s="11"/>
      <c r="U424" s="10" t="str">
        <f>HYPERLINK("https://pbs.twimg.com/profile_images/578752890505842688/oDj0BXDA.jpeg","View")</f>
        <v>View</v>
      </c>
    </row>
    <row r="425" spans="1:21" ht="81.599999999999994">
      <c r="A425" s="6">
        <v>43442.436747685184</v>
      </c>
      <c r="B425" s="7" t="str">
        <f>HYPERLINK("https://twitter.com/flotontino","@flotontino")</f>
        <v>@flotontino</v>
      </c>
      <c r="C425" s="8" t="s">
        <v>861</v>
      </c>
      <c r="D425" s="9" t="s">
        <v>862</v>
      </c>
      <c r="E425" s="10" t="str">
        <f>HYPERLINK("https://twitter.com/flotontino/status/1071335805451419648","1071335805451419648")</f>
        <v>1071335805451419648</v>
      </c>
      <c r="F425" s="12" t="s">
        <v>863</v>
      </c>
      <c r="G425" s="11"/>
      <c r="H425" s="11"/>
      <c r="I425" s="13">
        <v>0</v>
      </c>
      <c r="J425" s="13">
        <v>0</v>
      </c>
      <c r="K425" s="14" t="str">
        <f>HYPERLINK("http://twitter.com","Twitter Web Client")</f>
        <v>Twitter Web Client</v>
      </c>
      <c r="L425" s="13">
        <v>1422</v>
      </c>
      <c r="M425" s="13">
        <v>1275</v>
      </c>
      <c r="N425" s="13">
        <v>53</v>
      </c>
      <c r="O425" s="15"/>
      <c r="P425" s="6">
        <v>40776.980520833335</v>
      </c>
      <c r="Q425" s="11"/>
      <c r="R425" s="19" t="s">
        <v>865</v>
      </c>
      <c r="S425" s="11"/>
      <c r="T425" s="11"/>
      <c r="U425" s="10" t="str">
        <f>HYPERLINK("https://pbs.twimg.com/profile_images/1507155650/flotontino.jpg","View")</f>
        <v>View</v>
      </c>
    </row>
    <row r="426" spans="1:21" ht="40.799999999999997">
      <c r="A426" s="6">
        <v>43442.435729166667</v>
      </c>
      <c r="B426" s="7" t="str">
        <f>HYPERLINK("https://twitter.com/jemahuja","@jemahuja")</f>
        <v>@jemahuja</v>
      </c>
      <c r="C426" s="8" t="s">
        <v>2327</v>
      </c>
      <c r="D426" s="9" t="s">
        <v>2810</v>
      </c>
      <c r="E426" s="10" t="str">
        <f>HYPERLINK("https://twitter.com/jemahuja/status/1071335437317406720","1071335437317406720")</f>
        <v>1071335437317406720</v>
      </c>
      <c r="F426" s="12" t="s">
        <v>2813</v>
      </c>
      <c r="G426" s="11"/>
      <c r="H426" s="11"/>
      <c r="I426" s="13">
        <v>0</v>
      </c>
      <c r="J426" s="13">
        <v>2</v>
      </c>
      <c r="K426" s="14" t="str">
        <f>HYPERLINK("http://www.facebook.com/twitter","Facebook")</f>
        <v>Facebook</v>
      </c>
      <c r="L426" s="13">
        <v>4865</v>
      </c>
      <c r="M426" s="13">
        <v>5077</v>
      </c>
      <c r="N426" s="13">
        <v>69</v>
      </c>
      <c r="O426" s="15"/>
      <c r="P426" s="6">
        <v>40624.647256944445</v>
      </c>
      <c r="Q426" s="11"/>
      <c r="R426" s="19" t="s">
        <v>2329</v>
      </c>
      <c r="S426" s="12" t="s">
        <v>2330</v>
      </c>
      <c r="T426" s="11"/>
      <c r="U426" s="10" t="str">
        <f>HYPERLINK("https://pbs.twimg.com/profile_images/979014863442907137/Qus9jozf.jpg","View")</f>
        <v>View</v>
      </c>
    </row>
    <row r="427" spans="1:21" ht="30.6">
      <c r="A427" s="6">
        <v>43442.435462962967</v>
      </c>
      <c r="B427" s="7" t="str">
        <f>HYPERLINK("https://twitter.com/PpcaballosPepe","@PpcaballosPepe")</f>
        <v>@PpcaballosPepe</v>
      </c>
      <c r="C427" s="8" t="s">
        <v>2752</v>
      </c>
      <c r="D427" s="9" t="s">
        <v>2818</v>
      </c>
      <c r="E427" s="10" t="str">
        <f>HYPERLINK("https://twitter.com/PpcaballosPepe/status/1071335340756164609","1071335340756164609")</f>
        <v>1071335340756164609</v>
      </c>
      <c r="F427" s="12" t="s">
        <v>2821</v>
      </c>
      <c r="G427" s="11"/>
      <c r="H427" s="11"/>
      <c r="I427" s="13">
        <v>0</v>
      </c>
      <c r="J427" s="13">
        <v>0</v>
      </c>
      <c r="K427" s="14" t="str">
        <f>HYPERLINK("http://twitter.com","Twitter Web Client")</f>
        <v>Twitter Web Client</v>
      </c>
      <c r="L427" s="13">
        <v>71</v>
      </c>
      <c r="M427" s="13">
        <v>205</v>
      </c>
      <c r="N427" s="13">
        <v>0</v>
      </c>
      <c r="O427" s="15"/>
      <c r="P427" s="6">
        <v>40963.386145833334</v>
      </c>
      <c r="Q427" s="11"/>
      <c r="R427" s="19" t="s">
        <v>2757</v>
      </c>
      <c r="S427" s="11"/>
      <c r="T427" s="11"/>
      <c r="U427" s="16" t="s">
        <v>191</v>
      </c>
    </row>
    <row r="428" spans="1:21" ht="40.799999999999997">
      <c r="A428" s="6">
        <v>43442.434756944444</v>
      </c>
      <c r="B428" s="7" t="str">
        <f>HYPERLINK("https://twitter.com/elviejotaurino","@elviejotaurino")</f>
        <v>@elviejotaurino</v>
      </c>
      <c r="C428" s="8" t="s">
        <v>2501</v>
      </c>
      <c r="D428" s="9" t="s">
        <v>2826</v>
      </c>
      <c r="E428" s="10" t="str">
        <f>HYPERLINK("https://twitter.com/elviejotaurino/status/1071335087663390720","1071335087663390720")</f>
        <v>1071335087663390720</v>
      </c>
      <c r="F428" s="12" t="s">
        <v>2828</v>
      </c>
      <c r="G428" s="11"/>
      <c r="H428" s="11"/>
      <c r="I428" s="13">
        <v>1</v>
      </c>
      <c r="J428" s="13">
        <v>0</v>
      </c>
      <c r="K428" s="14" t="str">
        <f>HYPERLINK("http://twitter.com/download/iphone","Twitter for iPhone")</f>
        <v>Twitter for iPhone</v>
      </c>
      <c r="L428" s="13">
        <v>1829</v>
      </c>
      <c r="M428" s="13">
        <v>593</v>
      </c>
      <c r="N428" s="13">
        <v>13</v>
      </c>
      <c r="O428" s="15"/>
      <c r="P428" s="6">
        <v>41295.778587962966</v>
      </c>
      <c r="Q428" s="11"/>
      <c r="R428" s="19" t="s">
        <v>2507</v>
      </c>
      <c r="S428" s="11"/>
      <c r="T428" s="11"/>
      <c r="U428" s="10" t="str">
        <f>HYPERLINK("https://pbs.twimg.com/profile_images/3144357059/031cd3d49fcb2a84ee1695b8c5bf64e6.jpeg","View")</f>
        <v>View</v>
      </c>
    </row>
    <row r="429" spans="1:21" ht="20.399999999999999">
      <c r="A429" s="6">
        <v>43442.434664351851</v>
      </c>
      <c r="B429" s="7" t="str">
        <f>HYPERLINK("https://twitter.com/will63734694","@will63734694")</f>
        <v>@will63734694</v>
      </c>
      <c r="C429" s="8" t="s">
        <v>2832</v>
      </c>
      <c r="D429" s="9" t="s">
        <v>285</v>
      </c>
      <c r="E429" s="10" t="str">
        <f>HYPERLINK("https://twitter.com/will63734694/status/1071335050938105856","1071335050938105856")</f>
        <v>1071335050938105856</v>
      </c>
      <c r="F429" s="12" t="s">
        <v>290</v>
      </c>
      <c r="G429" s="11"/>
      <c r="H429" s="11"/>
      <c r="I429" s="13">
        <v>1</v>
      </c>
      <c r="J429" s="13">
        <v>0</v>
      </c>
      <c r="K429" s="14" t="str">
        <f>HYPERLINK("http://twitter.com/download/android","Twitter for Android")</f>
        <v>Twitter for Android</v>
      </c>
      <c r="L429" s="13">
        <v>871</v>
      </c>
      <c r="M429" s="13">
        <v>943</v>
      </c>
      <c r="N429" s="13">
        <v>4</v>
      </c>
      <c r="O429" s="15"/>
      <c r="P429" s="6">
        <v>42240.768564814818</v>
      </c>
      <c r="Q429" s="11"/>
      <c r="R429" s="19" t="s">
        <v>2836</v>
      </c>
      <c r="S429" s="12" t="s">
        <v>2837</v>
      </c>
      <c r="T429" s="11"/>
      <c r="U429" s="10" t="str">
        <f>HYPERLINK("https://pbs.twimg.com/profile_images/951533192347045888/lXt2lpIu.jpg","View")</f>
        <v>View</v>
      </c>
    </row>
    <row r="430" spans="1:21" ht="20.399999999999999">
      <c r="A430" s="6">
        <v>43442.433958333335</v>
      </c>
      <c r="B430" s="7" t="str">
        <f>HYPERLINK("https://twitter.com/jfh2651","@jfh2651")</f>
        <v>@jfh2651</v>
      </c>
      <c r="C430" s="8" t="s">
        <v>2841</v>
      </c>
      <c r="D430" s="9" t="s">
        <v>2842</v>
      </c>
      <c r="E430" s="10" t="str">
        <f>HYPERLINK("https://twitter.com/jfh2651/status/1071334797451165696","1071334797451165696")</f>
        <v>1071334797451165696</v>
      </c>
      <c r="F430" s="12" t="s">
        <v>403</v>
      </c>
      <c r="G430" s="11"/>
      <c r="H430" s="11"/>
      <c r="I430" s="13">
        <v>0</v>
      </c>
      <c r="J430" s="13">
        <v>0</v>
      </c>
      <c r="K430" s="14" t="str">
        <f>HYPERLINK("http://twitter.com","Twitter Web Client")</f>
        <v>Twitter Web Client</v>
      </c>
      <c r="L430" s="13">
        <v>6783</v>
      </c>
      <c r="M430" s="13">
        <v>6277</v>
      </c>
      <c r="N430" s="13">
        <v>51</v>
      </c>
      <c r="O430" s="15"/>
      <c r="P430" s="6">
        <v>39937.751134259262</v>
      </c>
      <c r="Q430" s="18" t="s">
        <v>1708</v>
      </c>
      <c r="R430" s="19" t="s">
        <v>2846</v>
      </c>
      <c r="S430" s="12" t="s">
        <v>2847</v>
      </c>
      <c r="T430" s="11"/>
      <c r="U430" s="10" t="str">
        <f>HYPERLINK("https://pbs.twimg.com/profile_images/2250129029/Gary_Grant_2.jpg","View")</f>
        <v>View</v>
      </c>
    </row>
    <row r="431" spans="1:21" ht="40.799999999999997">
      <c r="A431" s="6">
        <v>43442.433622685188</v>
      </c>
      <c r="B431" s="7" t="str">
        <f>HYPERLINK("https://twitter.com/jemahuja","@jemahuja")</f>
        <v>@jemahuja</v>
      </c>
      <c r="C431" s="8" t="s">
        <v>2327</v>
      </c>
      <c r="D431" s="9" t="s">
        <v>2852</v>
      </c>
      <c r="E431" s="10" t="str">
        <f>HYPERLINK("https://twitter.com/jemahuja/status/1071334675300401152","1071334675300401152")</f>
        <v>1071334675300401152</v>
      </c>
      <c r="F431" s="12" t="s">
        <v>2853</v>
      </c>
      <c r="G431" s="11"/>
      <c r="H431" s="11"/>
      <c r="I431" s="13">
        <v>0</v>
      </c>
      <c r="J431" s="13">
        <v>0</v>
      </c>
      <c r="K431" s="14" t="str">
        <f>HYPERLINK("http://www.facebook.com/twitter","Facebook")</f>
        <v>Facebook</v>
      </c>
      <c r="L431" s="13">
        <v>4865</v>
      </c>
      <c r="M431" s="13">
        <v>5077</v>
      </c>
      <c r="N431" s="13">
        <v>69</v>
      </c>
      <c r="O431" s="15"/>
      <c r="P431" s="6">
        <v>40624.647256944445</v>
      </c>
      <c r="Q431" s="11"/>
      <c r="R431" s="19" t="s">
        <v>2329</v>
      </c>
      <c r="S431" s="12" t="s">
        <v>2330</v>
      </c>
      <c r="T431" s="11"/>
      <c r="U431" s="10" t="str">
        <f>HYPERLINK("https://pbs.twimg.com/profile_images/979014863442907137/Qus9jozf.jpg","View")</f>
        <v>View</v>
      </c>
    </row>
    <row r="432" spans="1:21" ht="51">
      <c r="A432" s="6">
        <v>43442.433622685188</v>
      </c>
      <c r="B432" s="7" t="str">
        <f>HYPERLINK("https://twitter.com/JoseAngelGLanda","@JoseAngelGLanda")</f>
        <v>@JoseAngelGLanda</v>
      </c>
      <c r="C432" s="8" t="s">
        <v>2858</v>
      </c>
      <c r="D432" s="9" t="s">
        <v>2859</v>
      </c>
      <c r="E432" s="10" t="str">
        <f>HYPERLINK("https://twitter.com/JoseAngelGLanda/status/1071334674520305664","1071334674520305664")</f>
        <v>1071334674520305664</v>
      </c>
      <c r="F432" s="12" t="s">
        <v>2861</v>
      </c>
      <c r="G432" s="11"/>
      <c r="H432" s="11"/>
      <c r="I432" s="13">
        <v>0</v>
      </c>
      <c r="J432" s="13">
        <v>0</v>
      </c>
      <c r="K432" s="14" t="str">
        <f t="shared" ref="K432:K434" si="78">HYPERLINK("http://twitter.com","Twitter Web Client")</f>
        <v>Twitter Web Client</v>
      </c>
      <c r="L432" s="13">
        <v>206</v>
      </c>
      <c r="M432" s="13">
        <v>142</v>
      </c>
      <c r="N432" s="13">
        <v>16</v>
      </c>
      <c r="O432" s="15"/>
      <c r="P432" s="6">
        <v>40679.527673611112</v>
      </c>
      <c r="Q432" s="18" t="s">
        <v>1836</v>
      </c>
      <c r="R432" s="19" t="s">
        <v>2862</v>
      </c>
      <c r="S432" s="12" t="s">
        <v>2863</v>
      </c>
      <c r="T432" s="11"/>
      <c r="U432" s="10" t="str">
        <f>HYPERLINK("https://pbs.twimg.com/profile_images/1355796314/jaglcuadrado.jpg","View")</f>
        <v>View</v>
      </c>
    </row>
    <row r="433" spans="1:21" ht="40.799999999999997">
      <c r="A433" s="6">
        <v>43442.433148148149</v>
      </c>
      <c r="B433" s="7" t="str">
        <f>HYPERLINK("https://twitter.com/Manolindos","@Manolindos")</f>
        <v>@Manolindos</v>
      </c>
      <c r="C433" s="8" t="s">
        <v>2866</v>
      </c>
      <c r="D433" s="9" t="s">
        <v>612</v>
      </c>
      <c r="E433" s="10" t="str">
        <f>HYPERLINK("https://twitter.com/Manolindos/status/1071334504294506496","1071334504294506496")</f>
        <v>1071334504294506496</v>
      </c>
      <c r="F433" s="12" t="s">
        <v>49</v>
      </c>
      <c r="G433" s="11"/>
      <c r="H433" s="11"/>
      <c r="I433" s="13">
        <v>0</v>
      </c>
      <c r="J433" s="13">
        <v>0</v>
      </c>
      <c r="K433" s="14" t="str">
        <f t="shared" si="78"/>
        <v>Twitter Web Client</v>
      </c>
      <c r="L433" s="13">
        <v>485</v>
      </c>
      <c r="M433" s="13">
        <v>1573</v>
      </c>
      <c r="N433" s="13">
        <v>3</v>
      </c>
      <c r="O433" s="15"/>
      <c r="P433" s="6">
        <v>42337.660254629634</v>
      </c>
      <c r="Q433" s="18" t="s">
        <v>2870</v>
      </c>
      <c r="R433" s="19" t="s">
        <v>2871</v>
      </c>
      <c r="S433" s="12" t="s">
        <v>2872</v>
      </c>
      <c r="T433" s="11"/>
      <c r="U433" s="10" t="str">
        <f>HYPERLINK("https://pbs.twimg.com/profile_images/670981351609401344/hwNL1eN8.png","View")</f>
        <v>View</v>
      </c>
    </row>
    <row r="434" spans="1:21" ht="20.399999999999999">
      <c r="A434" s="6">
        <v>43442.43273148148</v>
      </c>
      <c r="B434" s="7" t="str">
        <f>HYPERLINK("https://twitter.com/Jacobo7elbobo","@Jacobo7elbobo")</f>
        <v>@Jacobo7elbobo</v>
      </c>
      <c r="C434" s="8" t="s">
        <v>147</v>
      </c>
      <c r="D434" s="9" t="s">
        <v>285</v>
      </c>
      <c r="E434" s="10" t="str">
        <f>HYPERLINK("https://twitter.com/Jacobo7elbobo/status/1071334352083214336","1071334352083214336")</f>
        <v>1071334352083214336</v>
      </c>
      <c r="F434" s="12" t="s">
        <v>290</v>
      </c>
      <c r="G434" s="11"/>
      <c r="H434" s="11"/>
      <c r="I434" s="13">
        <v>16</v>
      </c>
      <c r="J434" s="13">
        <v>15</v>
      </c>
      <c r="K434" s="14" t="str">
        <f t="shared" si="78"/>
        <v>Twitter Web Client</v>
      </c>
      <c r="L434" s="13">
        <v>5561</v>
      </c>
      <c r="M434" s="13">
        <v>5286</v>
      </c>
      <c r="N434" s="13">
        <v>8</v>
      </c>
      <c r="O434" s="15"/>
      <c r="P434" s="6">
        <v>42315.993460648147</v>
      </c>
      <c r="Q434" s="18" t="s">
        <v>152</v>
      </c>
      <c r="R434" s="19" t="s">
        <v>153</v>
      </c>
      <c r="S434" s="11"/>
      <c r="T434" s="11"/>
      <c r="U434" s="10" t="str">
        <f>HYPERLINK("https://pbs.twimg.com/profile_images/972809079289675776/alLBdem6.jpg","View")</f>
        <v>View</v>
      </c>
    </row>
    <row r="435" spans="1:21" ht="40.799999999999997">
      <c r="A435" s="6">
        <v>43442.432662037041</v>
      </c>
      <c r="B435" s="7" t="str">
        <f>HYPERLINK("https://twitter.com/jemahuja","@jemahuja")</f>
        <v>@jemahuja</v>
      </c>
      <c r="C435" s="8" t="s">
        <v>2327</v>
      </c>
      <c r="D435" s="9" t="s">
        <v>2879</v>
      </c>
      <c r="E435" s="10" t="str">
        <f>HYPERLINK("https://twitter.com/jemahuja/status/1071334325625458688","1071334325625458688")</f>
        <v>1071334325625458688</v>
      </c>
      <c r="F435" s="12" t="s">
        <v>2161</v>
      </c>
      <c r="G435" s="11"/>
      <c r="H435" s="11"/>
      <c r="I435" s="13">
        <v>3</v>
      </c>
      <c r="J435" s="13">
        <v>0</v>
      </c>
      <c r="K435" s="14" t="str">
        <f>HYPERLINK("http://www.facebook.com/twitter","Facebook")</f>
        <v>Facebook</v>
      </c>
      <c r="L435" s="13">
        <v>4865</v>
      </c>
      <c r="M435" s="13">
        <v>5077</v>
      </c>
      <c r="N435" s="13">
        <v>69</v>
      </c>
      <c r="O435" s="15"/>
      <c r="P435" s="6">
        <v>40624.647256944445</v>
      </c>
      <c r="Q435" s="11"/>
      <c r="R435" s="19" t="s">
        <v>2329</v>
      </c>
      <c r="S435" s="12" t="s">
        <v>2330</v>
      </c>
      <c r="T435" s="11"/>
      <c r="U435" s="10" t="str">
        <f>HYPERLINK("https://pbs.twimg.com/profile_images/979014863442907137/Qus9jozf.jpg","View")</f>
        <v>View</v>
      </c>
    </row>
    <row r="436" spans="1:21" ht="112.2">
      <c r="A436" s="6">
        <v>43442.431932870371</v>
      </c>
      <c r="B436" s="7" t="str">
        <f>HYPERLINK("https://twitter.com/Jorgepern","@Jorgepern")</f>
        <v>@Jorgepern</v>
      </c>
      <c r="C436" s="8" t="s">
        <v>545</v>
      </c>
      <c r="D436" s="9" t="s">
        <v>2885</v>
      </c>
      <c r="E436" s="10" t="str">
        <f>HYPERLINK("https://twitter.com/Jorgepern/status/1071334062290333696","1071334062290333696")</f>
        <v>1071334062290333696</v>
      </c>
      <c r="F436" s="12" t="s">
        <v>2886</v>
      </c>
      <c r="G436" s="11"/>
      <c r="H436" s="11"/>
      <c r="I436" s="13">
        <v>2</v>
      </c>
      <c r="J436" s="13">
        <v>7</v>
      </c>
      <c r="K436" s="14" t="str">
        <f t="shared" ref="K436:K439" si="79">HYPERLINK("http://twitter.com/download/android","Twitter for Android")</f>
        <v>Twitter for Android</v>
      </c>
      <c r="L436" s="13">
        <v>628</v>
      </c>
      <c r="M436" s="13">
        <v>163</v>
      </c>
      <c r="N436" s="13">
        <v>17</v>
      </c>
      <c r="O436" s="15"/>
      <c r="P436" s="6">
        <v>40975.213993055557</v>
      </c>
      <c r="Q436" s="18" t="s">
        <v>680</v>
      </c>
      <c r="R436" s="19" t="s">
        <v>2890</v>
      </c>
      <c r="S436" s="11"/>
      <c r="T436" s="11"/>
      <c r="U436" s="10" t="str">
        <f>HYPERLINK("https://pbs.twimg.com/profile_images/710907180111818752/UkPychhO.jpg","View")</f>
        <v>View</v>
      </c>
    </row>
    <row r="437" spans="1:21" ht="40.799999999999997">
      <c r="A437" s="6">
        <v>43442.431331018517</v>
      </c>
      <c r="B437" s="7" t="str">
        <f>HYPERLINK("https://twitter.com/Hristi_1X2","@Hristi_1X2")</f>
        <v>@Hristi_1X2</v>
      </c>
      <c r="C437" s="8" t="s">
        <v>2893</v>
      </c>
      <c r="D437" s="9" t="s">
        <v>1452</v>
      </c>
      <c r="E437" s="10" t="str">
        <f>HYPERLINK("https://twitter.com/Hristi_1X2/status/1071333845482524674","1071333845482524674")</f>
        <v>1071333845482524674</v>
      </c>
      <c r="F437" s="12" t="s">
        <v>296</v>
      </c>
      <c r="G437" s="11"/>
      <c r="H437" s="11"/>
      <c r="I437" s="13">
        <v>0</v>
      </c>
      <c r="J437" s="13">
        <v>0</v>
      </c>
      <c r="K437" s="14" t="str">
        <f t="shared" si="79"/>
        <v>Twitter for Android</v>
      </c>
      <c r="L437" s="13">
        <v>1922</v>
      </c>
      <c r="M437" s="13">
        <v>2206</v>
      </c>
      <c r="N437" s="13">
        <v>13</v>
      </c>
      <c r="O437" s="15"/>
      <c r="P437" s="6">
        <v>42021.616284722222</v>
      </c>
      <c r="Q437" s="18" t="s">
        <v>2896</v>
      </c>
      <c r="R437" s="19" t="s">
        <v>2897</v>
      </c>
      <c r="S437" s="11"/>
      <c r="T437" s="11"/>
      <c r="U437" s="10" t="str">
        <f>HYPERLINK("https://pbs.twimg.com/profile_images/973123195812433920/IR2nOq9_.jpg","View")</f>
        <v>View</v>
      </c>
    </row>
    <row r="438" spans="1:21" ht="30.6">
      <c r="A438" s="6">
        <v>43442.430150462962</v>
      </c>
      <c r="B438" s="7" t="str">
        <f>HYPERLINK("https://twitter.com/mcyava","@mcyava")</f>
        <v>@mcyava</v>
      </c>
      <c r="C438" s="8" t="s">
        <v>408</v>
      </c>
      <c r="D438" s="9" t="s">
        <v>2900</v>
      </c>
      <c r="E438" s="10" t="str">
        <f>HYPERLINK("https://twitter.com/mcyava/status/1071333418020028416","1071333418020028416")</f>
        <v>1071333418020028416</v>
      </c>
      <c r="F438" s="12" t="s">
        <v>280</v>
      </c>
      <c r="G438" s="11"/>
      <c r="H438" s="11"/>
      <c r="I438" s="13">
        <v>5</v>
      </c>
      <c r="J438" s="13">
        <v>10</v>
      </c>
      <c r="K438" s="14" t="str">
        <f t="shared" si="79"/>
        <v>Twitter for Android</v>
      </c>
      <c r="L438" s="13">
        <v>16630</v>
      </c>
      <c r="M438" s="13">
        <v>12849</v>
      </c>
      <c r="N438" s="13">
        <v>90</v>
      </c>
      <c r="O438" s="15"/>
      <c r="P438" s="6">
        <v>40819.440150462964</v>
      </c>
      <c r="Q438" s="18" t="s">
        <v>42</v>
      </c>
      <c r="R438" s="19" t="s">
        <v>412</v>
      </c>
      <c r="S438" s="11"/>
      <c r="T438" s="11"/>
      <c r="U438" s="10" t="str">
        <f>HYPERLINK("https://pbs.twimg.com/profile_images/957202578210738176/msS95mss.jpg","View")</f>
        <v>View</v>
      </c>
    </row>
    <row r="439" spans="1:21" ht="30.6">
      <c r="A439" s="6">
        <v>43442.429131944446</v>
      </c>
      <c r="B439" s="7" t="str">
        <f>HYPERLINK("https://twitter.com/Isbalt","@Isbalt")</f>
        <v>@Isbalt</v>
      </c>
      <c r="C439" s="8" t="s">
        <v>2907</v>
      </c>
      <c r="D439" s="9" t="s">
        <v>2908</v>
      </c>
      <c r="E439" s="10" t="str">
        <f>HYPERLINK("https://twitter.com/Isbalt/status/1071333048795492354","1071333048795492354")</f>
        <v>1071333048795492354</v>
      </c>
      <c r="F439" s="12" t="s">
        <v>290</v>
      </c>
      <c r="G439" s="11"/>
      <c r="H439" s="11"/>
      <c r="I439" s="13">
        <v>5</v>
      </c>
      <c r="J439" s="13">
        <v>4</v>
      </c>
      <c r="K439" s="14" t="str">
        <f t="shared" si="79"/>
        <v>Twitter for Android</v>
      </c>
      <c r="L439" s="13">
        <v>554</v>
      </c>
      <c r="M439" s="13">
        <v>635</v>
      </c>
      <c r="N439" s="13">
        <v>5</v>
      </c>
      <c r="O439" s="15"/>
      <c r="P439" s="6">
        <v>42894.976099537038</v>
      </c>
      <c r="Q439" s="11"/>
      <c r="R439" s="19" t="s">
        <v>2911</v>
      </c>
      <c r="S439" s="11"/>
      <c r="T439" s="11"/>
      <c r="U439" s="10" t="str">
        <f>HYPERLINK("https://pbs.twimg.com/profile_images/1048866694834393089/QvK8WFZZ.jpg","View")</f>
        <v>View</v>
      </c>
    </row>
    <row r="440" spans="1:21" ht="51">
      <c r="A440" s="6">
        <v>43442.427743055552</v>
      </c>
      <c r="B440" s="7" t="str">
        <f>HYPERLINK("https://twitter.com/vicrock1947","@vicrock1947")</f>
        <v>@vicrock1947</v>
      </c>
      <c r="C440" s="8" t="s">
        <v>2914</v>
      </c>
      <c r="D440" s="9" t="s">
        <v>2916</v>
      </c>
      <c r="E440" s="10" t="str">
        <f>HYPERLINK("https://twitter.com/vicrock1947/status/1071332541993500672","1071332541993500672")</f>
        <v>1071332541993500672</v>
      </c>
      <c r="F440" s="11"/>
      <c r="G440" s="11"/>
      <c r="H440" s="11"/>
      <c r="I440" s="13">
        <v>0</v>
      </c>
      <c r="J440" s="13">
        <v>2</v>
      </c>
      <c r="K440" s="14" t="str">
        <f>HYPERLINK("http://twitter.com","Twitter Web Client")</f>
        <v>Twitter Web Client</v>
      </c>
      <c r="L440" s="13">
        <v>1660</v>
      </c>
      <c r="M440" s="13">
        <v>1686</v>
      </c>
      <c r="N440" s="13">
        <v>2</v>
      </c>
      <c r="O440" s="15"/>
      <c r="P440" s="6">
        <v>42878.561157407406</v>
      </c>
      <c r="Q440" s="11"/>
      <c r="R440" s="17"/>
      <c r="S440" s="11"/>
      <c r="T440" s="11"/>
      <c r="U440" s="10" t="str">
        <f>HYPERLINK("https://pbs.twimg.com/profile_images/923505794078904321/K0hMi8hx.jpg","View")</f>
        <v>View</v>
      </c>
    </row>
    <row r="441" spans="1:21" ht="81.599999999999994">
      <c r="A441" s="6">
        <v>43442.42695601852</v>
      </c>
      <c r="B441" s="7" t="str">
        <f>HYPERLINK("https://twitter.com/ATCoco2017","@ATCoco2017")</f>
        <v>@ATCoco2017</v>
      </c>
      <c r="C441" s="8" t="s">
        <v>880</v>
      </c>
      <c r="D441" s="9" t="s">
        <v>2920</v>
      </c>
      <c r="E441" s="10" t="str">
        <f>HYPERLINK("https://twitter.com/ATCoco2017/status/1071332259205210112","1071332259205210112")</f>
        <v>1071332259205210112</v>
      </c>
      <c r="F441" s="18" t="s">
        <v>2921</v>
      </c>
      <c r="G441" s="11"/>
      <c r="H441" s="11"/>
      <c r="I441" s="13">
        <v>0</v>
      </c>
      <c r="J441" s="13">
        <v>0</v>
      </c>
      <c r="K441" s="14" t="str">
        <f>HYPERLINK("http://twitter.com/download/iphone","Twitter for iPhone")</f>
        <v>Twitter for iPhone</v>
      </c>
      <c r="L441" s="13">
        <v>345</v>
      </c>
      <c r="M441" s="13">
        <v>88</v>
      </c>
      <c r="N441" s="13">
        <v>4</v>
      </c>
      <c r="O441" s="15"/>
      <c r="P441" s="6">
        <v>43012.361898148149</v>
      </c>
      <c r="Q441" s="18" t="s">
        <v>885</v>
      </c>
      <c r="R441" s="17"/>
      <c r="S441" s="11"/>
      <c r="T441" s="11"/>
      <c r="U441" s="10" t="str">
        <f>HYPERLINK("https://pbs.twimg.com/profile_images/953191161405026304/WmZYMXL5.jpg","View")</f>
        <v>View</v>
      </c>
    </row>
    <row r="442" spans="1:21" ht="20.399999999999999">
      <c r="A442" s="6">
        <v>43442.426585648151</v>
      </c>
      <c r="B442" s="7" t="str">
        <f>HYPERLINK("https://twitter.com/juanvelarde72","@juanvelarde72")</f>
        <v>@juanvelarde72</v>
      </c>
      <c r="C442" s="8" t="s">
        <v>2927</v>
      </c>
      <c r="D442" s="9" t="s">
        <v>2928</v>
      </c>
      <c r="E442" s="10" t="str">
        <f>HYPERLINK("https://twitter.com/juanvelarde72/status/1071332124119183360","1071332124119183360")</f>
        <v>1071332124119183360</v>
      </c>
      <c r="F442" s="12" t="s">
        <v>2929</v>
      </c>
      <c r="G442" s="11"/>
      <c r="H442" s="11"/>
      <c r="I442" s="13">
        <v>0</v>
      </c>
      <c r="J442" s="13">
        <v>0</v>
      </c>
      <c r="K442" s="14" t="str">
        <f>HYPERLINK("https://www.google.com/","Google")</f>
        <v>Google</v>
      </c>
      <c r="L442" s="13">
        <v>1615</v>
      </c>
      <c r="M442" s="13">
        <v>1596</v>
      </c>
      <c r="N442" s="13">
        <v>22</v>
      </c>
      <c r="O442" s="15"/>
      <c r="P442" s="6">
        <v>42289.95722222222</v>
      </c>
      <c r="Q442" s="18" t="s">
        <v>41</v>
      </c>
      <c r="R442" s="17"/>
      <c r="S442" s="12" t="s">
        <v>2932</v>
      </c>
      <c r="T442" s="11"/>
      <c r="U442" s="10" t="str">
        <f>HYPERLINK("https://pbs.twimg.com/profile_images/1067670079867953153/ZaE5Pz3x.jpg","View")</f>
        <v>View</v>
      </c>
    </row>
    <row r="443" spans="1:21" ht="61.2">
      <c r="A443" s="6">
        <v>43442.426400462966</v>
      </c>
      <c r="B443" s="7" t="str">
        <f>HYPERLINK("https://twitter.com/Pifontan","@Pifontan")</f>
        <v>@Pifontan</v>
      </c>
      <c r="C443" s="8" t="s">
        <v>869</v>
      </c>
      <c r="D443" s="9" t="s">
        <v>870</v>
      </c>
      <c r="E443" s="10" t="str">
        <f>HYPERLINK("https://twitter.com/Pifontan/status/1071332056997740544","1071332056997740544")</f>
        <v>1071332056997740544</v>
      </c>
      <c r="F443" s="18" t="s">
        <v>871</v>
      </c>
      <c r="G443" s="11"/>
      <c r="H443" s="11"/>
      <c r="I443" s="13">
        <v>1</v>
      </c>
      <c r="J443" s="13">
        <v>0</v>
      </c>
      <c r="K443" s="14" t="str">
        <f>HYPERLINK("http://twitter.com/download/iphone","Twitter for iPhone")</f>
        <v>Twitter for iPhone</v>
      </c>
      <c r="L443" s="13">
        <v>474</v>
      </c>
      <c r="M443" s="13">
        <v>409</v>
      </c>
      <c r="N443" s="13">
        <v>6</v>
      </c>
      <c r="O443" s="15"/>
      <c r="P443" s="6">
        <v>40767.68178240741</v>
      </c>
      <c r="Q443" s="18" t="s">
        <v>307</v>
      </c>
      <c r="R443" s="19" t="s">
        <v>874</v>
      </c>
      <c r="S443" s="11"/>
      <c r="T443" s="11"/>
      <c r="U443" s="10" t="str">
        <f>HYPERLINK("https://pbs.twimg.com/profile_images/2393641943/image.jpg","View")</f>
        <v>View</v>
      </c>
    </row>
    <row r="444" spans="1:21" ht="81.599999999999994">
      <c r="A444" s="6">
        <v>43442.426192129627</v>
      </c>
      <c r="B444" s="7" t="str">
        <f>HYPERLINK("https://twitter.com/ralphsaxxon1","@ralphsaxxon1")</f>
        <v>@ralphsaxxon1</v>
      </c>
      <c r="C444" s="8" t="s">
        <v>2939</v>
      </c>
      <c r="D444" s="9" t="s">
        <v>2941</v>
      </c>
      <c r="E444" s="10" t="str">
        <f>HYPERLINK("https://twitter.com/ralphsaxxon1/status/1071331980980174848","1071331980980174848")</f>
        <v>1071331980980174848</v>
      </c>
      <c r="F444" s="18" t="s">
        <v>2942</v>
      </c>
      <c r="G444" s="11"/>
      <c r="H444" s="11"/>
      <c r="I444" s="13">
        <v>1</v>
      </c>
      <c r="J444" s="13">
        <v>0</v>
      </c>
      <c r="K444" s="14" t="str">
        <f t="shared" ref="K444:K445" si="80">HYPERLINK("http://twitter.com/download/android","Twitter for Android")</f>
        <v>Twitter for Android</v>
      </c>
      <c r="L444" s="13">
        <v>441</v>
      </c>
      <c r="M444" s="13">
        <v>732</v>
      </c>
      <c r="N444" s="13">
        <v>9</v>
      </c>
      <c r="O444" s="15"/>
      <c r="P444" s="6">
        <v>41007.756678240738</v>
      </c>
      <c r="Q444" s="18" t="s">
        <v>246</v>
      </c>
      <c r="R444" s="19" t="s">
        <v>2943</v>
      </c>
      <c r="S444" s="11"/>
      <c r="T444" s="11"/>
      <c r="U444" s="10" t="str">
        <f>HYPERLINK("https://pbs.twimg.com/profile_images/1030519421381603329/QJp3Fnyx.jpg","View")</f>
        <v>View</v>
      </c>
    </row>
    <row r="445" spans="1:21" ht="30.6">
      <c r="A445" s="6">
        <v>43442.426134259258</v>
      </c>
      <c r="B445" s="7" t="str">
        <f>HYPERLINK("https://twitter.com/adriaan_am","@adriaan_am")</f>
        <v>@adriaan_am</v>
      </c>
      <c r="C445" s="8" t="s">
        <v>2946</v>
      </c>
      <c r="D445" s="9" t="s">
        <v>2947</v>
      </c>
      <c r="E445" s="10" t="str">
        <f>HYPERLINK("https://twitter.com/adriaan_am/status/1071331961896124421","1071331961896124421")</f>
        <v>1071331961896124421</v>
      </c>
      <c r="F445" s="11"/>
      <c r="G445" s="11"/>
      <c r="H445" s="11"/>
      <c r="I445" s="13">
        <v>0</v>
      </c>
      <c r="J445" s="13">
        <v>0</v>
      </c>
      <c r="K445" s="14" t="str">
        <f t="shared" si="80"/>
        <v>Twitter for Android</v>
      </c>
      <c r="L445" s="13">
        <v>240</v>
      </c>
      <c r="M445" s="13">
        <v>123</v>
      </c>
      <c r="N445" s="13">
        <v>5</v>
      </c>
      <c r="O445" s="15"/>
      <c r="P445" s="6">
        <v>40841.959074074075</v>
      </c>
      <c r="Q445" s="11"/>
      <c r="R445" s="17"/>
      <c r="S445" s="11"/>
      <c r="T445" s="11"/>
      <c r="U445" s="10" t="str">
        <f>HYPERLINK("https://pbs.twimg.com/profile_images/1065691367345655808/bQ62hT8_.jpg","View")</f>
        <v>View</v>
      </c>
    </row>
    <row r="446" spans="1:21" ht="20.399999999999999">
      <c r="A446" s="6">
        <v>43442.425810185188</v>
      </c>
      <c r="B446" s="7" t="str">
        <f>HYPERLINK("https://twitter.com/virpb","@virpb")</f>
        <v>@virpb</v>
      </c>
      <c r="C446" s="8" t="s">
        <v>2954</v>
      </c>
      <c r="D446" s="9" t="s">
        <v>2956</v>
      </c>
      <c r="E446" s="10" t="str">
        <f>HYPERLINK("https://twitter.com/virpb/status/1071331843738353668","1071331843738353668")</f>
        <v>1071331843738353668</v>
      </c>
      <c r="F446" s="11"/>
      <c r="G446" s="11"/>
      <c r="H446" s="11"/>
      <c r="I446" s="13">
        <v>0</v>
      </c>
      <c r="J446" s="13">
        <v>1</v>
      </c>
      <c r="K446" s="14" t="str">
        <f>HYPERLINK("http://twitter.com/download/iphone","Twitter for iPhone")</f>
        <v>Twitter for iPhone</v>
      </c>
      <c r="L446" s="13">
        <v>3012</v>
      </c>
      <c r="M446" s="13">
        <v>1056</v>
      </c>
      <c r="N446" s="13">
        <v>32</v>
      </c>
      <c r="O446" s="15"/>
      <c r="P446" s="6">
        <v>41231.741053240738</v>
      </c>
      <c r="Q446" s="18" t="s">
        <v>173</v>
      </c>
      <c r="R446" s="19" t="s">
        <v>2959</v>
      </c>
      <c r="S446" s="11"/>
      <c r="T446" s="11"/>
      <c r="U446" s="10" t="str">
        <f>HYPERLINK("https://pbs.twimg.com/profile_images/1000343511403778048/bmOTcuaV.jpg","View")</f>
        <v>View</v>
      </c>
    </row>
    <row r="447" spans="1:21" ht="40.799999999999997">
      <c r="A447" s="6">
        <v>43442.425451388888</v>
      </c>
      <c r="B447" s="7" t="str">
        <f>HYPERLINK("https://twitter.com/cristinapelaez","@cristinapelaez")</f>
        <v>@cristinapelaez</v>
      </c>
      <c r="C447" s="8" t="s">
        <v>2961</v>
      </c>
      <c r="D447" s="9" t="s">
        <v>2962</v>
      </c>
      <c r="E447" s="10" t="str">
        <f>HYPERLINK("https://twitter.com/cristinapelaez/status/1071331714113376257","1071331714113376257")</f>
        <v>1071331714113376257</v>
      </c>
      <c r="F447" s="12" t="s">
        <v>2963</v>
      </c>
      <c r="G447" s="11"/>
      <c r="H447" s="11"/>
      <c r="I447" s="13">
        <v>0</v>
      </c>
      <c r="J447" s="13">
        <v>0</v>
      </c>
      <c r="K447" s="14" t="str">
        <f>HYPERLINK("http://www.facebook.com/twitter","Facebook")</f>
        <v>Facebook</v>
      </c>
      <c r="L447" s="13">
        <v>2031</v>
      </c>
      <c r="M447" s="13">
        <v>1048</v>
      </c>
      <c r="N447" s="13">
        <v>24</v>
      </c>
      <c r="O447" s="15"/>
      <c r="P447" s="6">
        <v>40150.541643518518</v>
      </c>
      <c r="Q447" s="11"/>
      <c r="R447" s="19" t="s">
        <v>2966</v>
      </c>
      <c r="S447" s="11"/>
      <c r="T447" s="11"/>
      <c r="U447" s="10" t="str">
        <f>HYPERLINK("https://pbs.twimg.com/profile_images/679925300931751936/r6aqIdLn.jpg","View")</f>
        <v>View</v>
      </c>
    </row>
    <row r="448" spans="1:21" ht="20.399999999999999">
      <c r="A448" s="6">
        <v>43442.424664351856</v>
      </c>
      <c r="B448" s="7" t="str">
        <f>HYPERLINK("https://twitter.com/mariluz77659162","@mariluz77659162")</f>
        <v>@mariluz77659162</v>
      </c>
      <c r="C448" s="8" t="s">
        <v>2970</v>
      </c>
      <c r="D448" s="9" t="s">
        <v>2971</v>
      </c>
      <c r="E448" s="10" t="str">
        <f>HYPERLINK("https://twitter.com/mariluz77659162/status/1071331429617946625","1071331429617946625")</f>
        <v>1071331429617946625</v>
      </c>
      <c r="F448" s="12" t="s">
        <v>2974</v>
      </c>
      <c r="G448" s="11"/>
      <c r="H448" s="11"/>
      <c r="I448" s="13">
        <v>0</v>
      </c>
      <c r="J448" s="13">
        <v>0</v>
      </c>
      <c r="K448" s="14" t="str">
        <f>HYPERLINK("http://twitter.com","Twitter Web Client")</f>
        <v>Twitter Web Client</v>
      </c>
      <c r="L448" s="13">
        <v>383</v>
      </c>
      <c r="M448" s="13">
        <v>849</v>
      </c>
      <c r="N448" s="13">
        <v>4</v>
      </c>
      <c r="O448" s="15"/>
      <c r="P448" s="6">
        <v>41089.008055555554</v>
      </c>
      <c r="Q448" s="11"/>
      <c r="R448" s="17"/>
      <c r="S448" s="11"/>
      <c r="T448" s="11"/>
      <c r="U448" s="10" t="str">
        <f>HYPERLINK("https://pbs.twimg.com/profile_images/378800000017404521/0e838a54ff82eba1e4b8642f2e08dd6d.jpeg","View")</f>
        <v>View</v>
      </c>
    </row>
    <row r="449" spans="1:21" ht="20.399999999999999">
      <c r="A449" s="6">
        <v>43442.424375000002</v>
      </c>
      <c r="B449" s="7" t="str">
        <f>HYPERLINK("https://twitter.com/KikeTejadaG","@KikeTejadaG")</f>
        <v>@KikeTejadaG</v>
      </c>
      <c r="C449" s="8" t="s">
        <v>875</v>
      </c>
      <c r="D449" s="9" t="s">
        <v>876</v>
      </c>
      <c r="E449" s="10" t="str">
        <f>HYPERLINK("https://twitter.com/KikeTejadaG/status/1071331321325199360","1071331321325199360")</f>
        <v>1071331321325199360</v>
      </c>
      <c r="F449" s="11"/>
      <c r="G449" s="11"/>
      <c r="H449" s="11"/>
      <c r="I449" s="13">
        <v>0</v>
      </c>
      <c r="J449" s="13">
        <v>0</v>
      </c>
      <c r="K449" s="14" t="str">
        <f>HYPERLINK("http://twitter.com/download/iphone","Twitter for iPhone")</f>
        <v>Twitter for iPhone</v>
      </c>
      <c r="L449" s="13">
        <v>743</v>
      </c>
      <c r="M449" s="13">
        <v>928</v>
      </c>
      <c r="N449" s="13">
        <v>24</v>
      </c>
      <c r="O449" s="15"/>
      <c r="P449" s="6">
        <v>40540.701701388891</v>
      </c>
      <c r="Q449" s="11"/>
      <c r="R449" s="19" t="s">
        <v>877</v>
      </c>
      <c r="S449" s="11"/>
      <c r="T449" s="11"/>
      <c r="U449" s="10" t="str">
        <f>HYPERLINK("https://pbs.twimg.com/profile_images/1028004981784408064/E3YKlv3-.jpg","View")</f>
        <v>View</v>
      </c>
    </row>
    <row r="450" spans="1:21" ht="20.399999999999999">
      <c r="A450" s="6">
        <v>43442.424131944441</v>
      </c>
      <c r="B450" s="7" t="str">
        <f>HYPERLINK("https://twitter.com/TodaLaPolitica","@TodaLaPolitica")</f>
        <v>@TodaLaPolitica</v>
      </c>
      <c r="C450" s="8" t="s">
        <v>2980</v>
      </c>
      <c r="D450" s="9" t="s">
        <v>1357</v>
      </c>
      <c r="E450" s="10" t="str">
        <f>HYPERLINK("https://twitter.com/TodaLaPolitica/status/1071331235899850752","1071331235899850752")</f>
        <v>1071331235899850752</v>
      </c>
      <c r="F450" s="12" t="s">
        <v>2982</v>
      </c>
      <c r="G450" s="11"/>
      <c r="H450" s="11"/>
      <c r="I450" s="13">
        <v>0</v>
      </c>
      <c r="J450" s="13">
        <v>0</v>
      </c>
      <c r="K450" s="14" t="str">
        <f>HYPERLINK("http://www.wonderland.fm/","wonderland.fm")</f>
        <v>wonderland.fm</v>
      </c>
      <c r="L450" s="13">
        <v>15444</v>
      </c>
      <c r="M450" s="13">
        <v>15794</v>
      </c>
      <c r="N450" s="13">
        <v>253</v>
      </c>
      <c r="O450" s="15"/>
      <c r="P450" s="6">
        <v>41184.636273148149</v>
      </c>
      <c r="Q450" s="11"/>
      <c r="R450" s="19" t="s">
        <v>2984</v>
      </c>
      <c r="S450" s="11"/>
      <c r="T450" s="11"/>
      <c r="U450" s="10" t="str">
        <f>HYPERLINK("https://pbs.twimg.com/profile_images/2939240194/ff9732ae14e730f6c9f7b76c9726d98b.png","View")</f>
        <v>View</v>
      </c>
    </row>
    <row r="451" spans="1:21" ht="51">
      <c r="A451" s="6">
        <v>43442.424039351856</v>
      </c>
      <c r="B451" s="7" t="str">
        <f>HYPERLINK("https://twitter.com/ATCoco2017","@ATCoco2017")</f>
        <v>@ATCoco2017</v>
      </c>
      <c r="C451" s="8" t="s">
        <v>880</v>
      </c>
      <c r="D451" s="9" t="s">
        <v>883</v>
      </c>
      <c r="E451" s="10" t="str">
        <f>HYPERLINK("https://twitter.com/ATCoco2017/status/1071331203515596800","1071331203515596800")</f>
        <v>1071331203515596800</v>
      </c>
      <c r="F451" s="12" t="s">
        <v>219</v>
      </c>
      <c r="G451" s="11"/>
      <c r="H451" s="11"/>
      <c r="I451" s="13">
        <v>0</v>
      </c>
      <c r="J451" s="13">
        <v>0</v>
      </c>
      <c r="K451" s="14" t="str">
        <f t="shared" ref="K451:K452" si="81">HYPERLINK("http://twitter.com/download/iphone","Twitter for iPhone")</f>
        <v>Twitter for iPhone</v>
      </c>
      <c r="L451" s="13">
        <v>345</v>
      </c>
      <c r="M451" s="13">
        <v>88</v>
      </c>
      <c r="N451" s="13">
        <v>4</v>
      </c>
      <c r="O451" s="15"/>
      <c r="P451" s="6">
        <v>43012.361898148149</v>
      </c>
      <c r="Q451" s="18" t="s">
        <v>885</v>
      </c>
      <c r="R451" s="17"/>
      <c r="S451" s="11"/>
      <c r="T451" s="11"/>
      <c r="U451" s="10" t="str">
        <f>HYPERLINK("https://pbs.twimg.com/profile_images/953191161405026304/WmZYMXL5.jpg","View")</f>
        <v>View</v>
      </c>
    </row>
    <row r="452" spans="1:21" ht="40.799999999999997">
      <c r="A452" s="6">
        <v>43442.423796296294</v>
      </c>
      <c r="B452" s="7" t="str">
        <f>HYPERLINK("https://twitter.com/EpicuroXXVI","@EpicuroXXVI")</f>
        <v>@EpicuroXXVI</v>
      </c>
      <c r="C452" s="8" t="s">
        <v>886</v>
      </c>
      <c r="D452" s="9" t="s">
        <v>887</v>
      </c>
      <c r="E452" s="10" t="str">
        <f>HYPERLINK("https://twitter.com/EpicuroXXVI/status/1071331114508263424","1071331114508263424")</f>
        <v>1071331114508263424</v>
      </c>
      <c r="F452" s="12" t="s">
        <v>890</v>
      </c>
      <c r="G452" s="11"/>
      <c r="H452" s="11"/>
      <c r="I452" s="13">
        <v>0</v>
      </c>
      <c r="J452" s="13">
        <v>1</v>
      </c>
      <c r="K452" s="14" t="str">
        <f t="shared" si="81"/>
        <v>Twitter for iPhone</v>
      </c>
      <c r="L452" s="13">
        <v>940</v>
      </c>
      <c r="M452" s="13">
        <v>1903</v>
      </c>
      <c r="N452" s="13">
        <v>0</v>
      </c>
      <c r="O452" s="15"/>
      <c r="P452" s="6">
        <v>43344.816296296296</v>
      </c>
      <c r="Q452" s="18" t="s">
        <v>885</v>
      </c>
      <c r="R452" s="19" t="s">
        <v>891</v>
      </c>
      <c r="S452" s="11"/>
      <c r="T452" s="11"/>
      <c r="U452" s="10" t="str">
        <f>HYPERLINK("https://pbs.twimg.com/profile_images/1035944667647492096/-ivAsDZB.jpg","View")</f>
        <v>View</v>
      </c>
    </row>
    <row r="453" spans="1:21" ht="40.799999999999997">
      <c r="A453" s="6">
        <v>43442.42260416667</v>
      </c>
      <c r="B453" s="7" t="str">
        <f>HYPERLINK("https://twitter.com/CarlosXimielga","@CarlosXimielga")</f>
        <v>@CarlosXimielga</v>
      </c>
      <c r="C453" s="8" t="s">
        <v>894</v>
      </c>
      <c r="D453" s="9" t="s">
        <v>895</v>
      </c>
      <c r="E453" s="10" t="str">
        <f>HYPERLINK("https://twitter.com/CarlosXimielga/status/1071330683329671168","1071330683329671168")</f>
        <v>1071330683329671168</v>
      </c>
      <c r="F453" s="11"/>
      <c r="G453" s="11"/>
      <c r="H453" s="11"/>
      <c r="I453" s="13">
        <v>0</v>
      </c>
      <c r="J453" s="13">
        <v>1</v>
      </c>
      <c r="K453" s="14" t="str">
        <f t="shared" ref="K453:K454" si="82">HYPERLINK("http://twitter.com/download/android","Twitter for Android")</f>
        <v>Twitter for Android</v>
      </c>
      <c r="L453" s="13">
        <v>653</v>
      </c>
      <c r="M453" s="13">
        <v>620</v>
      </c>
      <c r="N453" s="13">
        <v>5</v>
      </c>
      <c r="O453" s="15"/>
      <c r="P453" s="6">
        <v>42084.987789351857</v>
      </c>
      <c r="Q453" s="11"/>
      <c r="R453" s="17"/>
      <c r="S453" s="11"/>
      <c r="T453" s="11"/>
      <c r="U453" s="10" t="str">
        <f>HYPERLINK("https://pbs.twimg.com/profile_images/1065884559261216768/3f7OQFE7.jpg","View")</f>
        <v>View</v>
      </c>
    </row>
    <row r="454" spans="1:21" ht="30.6">
      <c r="A454" s="6">
        <v>43442.421932870369</v>
      </c>
      <c r="B454" s="7" t="str">
        <f>HYPERLINK("https://twitter.com/valesia2","@valesia2")</f>
        <v>@valesia2</v>
      </c>
      <c r="C454" s="8" t="s">
        <v>3005</v>
      </c>
      <c r="D454" s="9" t="s">
        <v>279</v>
      </c>
      <c r="E454" s="10" t="str">
        <f>HYPERLINK("https://twitter.com/valesia2/status/1071330437623095296","1071330437623095296")</f>
        <v>1071330437623095296</v>
      </c>
      <c r="F454" s="12" t="s">
        <v>280</v>
      </c>
      <c r="G454" s="11"/>
      <c r="H454" s="11"/>
      <c r="I454" s="13">
        <v>0</v>
      </c>
      <c r="J454" s="13">
        <v>0</v>
      </c>
      <c r="K454" s="14" t="str">
        <f t="shared" si="82"/>
        <v>Twitter for Android</v>
      </c>
      <c r="L454" s="13">
        <v>1591</v>
      </c>
      <c r="M454" s="13">
        <v>1515</v>
      </c>
      <c r="N454" s="13">
        <v>5</v>
      </c>
      <c r="O454" s="15"/>
      <c r="P454" s="6">
        <v>40495.845358796294</v>
      </c>
      <c r="Q454" s="11"/>
      <c r="R454" s="19" t="s">
        <v>3006</v>
      </c>
      <c r="S454" s="11"/>
      <c r="T454" s="11"/>
      <c r="U454" s="10" t="str">
        <f>HYPERLINK("https://pbs.twimg.com/profile_images/959426220663496704/2x1GnkHD.jpg","View")</f>
        <v>View</v>
      </c>
    </row>
    <row r="455" spans="1:21" ht="20.399999999999999">
      <c r="A455" s="6">
        <v>43442.421770833331</v>
      </c>
      <c r="B455" s="7" t="str">
        <f>HYPERLINK("https://twitter.com/cuchillm","@cuchillm")</f>
        <v>@cuchillm</v>
      </c>
      <c r="C455" s="8" t="s">
        <v>3009</v>
      </c>
      <c r="D455" s="9" t="s">
        <v>3010</v>
      </c>
      <c r="E455" s="10" t="str">
        <f>HYPERLINK("https://twitter.com/cuchillm/status/1071330379347447808","1071330379347447808")</f>
        <v>1071330379347447808</v>
      </c>
      <c r="F455" s="12" t="s">
        <v>3011</v>
      </c>
      <c r="G455" s="11"/>
      <c r="H455" s="11"/>
      <c r="I455" s="13">
        <v>0</v>
      </c>
      <c r="J455" s="13">
        <v>0</v>
      </c>
      <c r="K455" s="14" t="str">
        <f>HYPERLINK("http://twitter.com","Twitter Web Client")</f>
        <v>Twitter Web Client</v>
      </c>
      <c r="L455" s="13">
        <v>770</v>
      </c>
      <c r="M455" s="13">
        <v>376</v>
      </c>
      <c r="N455" s="13">
        <v>42</v>
      </c>
      <c r="O455" s="15"/>
      <c r="P455" s="6">
        <v>40291.935648148152</v>
      </c>
      <c r="Q455" s="18" t="s">
        <v>41</v>
      </c>
      <c r="R455" s="17"/>
      <c r="S455" s="11"/>
      <c r="T455" s="11"/>
      <c r="U455" s="10" t="str">
        <f>HYPERLINK("https://pbs.twimg.com/profile_images/948160677549658112/4CnWEZii.jpg","View")</f>
        <v>View</v>
      </c>
    </row>
    <row r="456" spans="1:21" ht="40.799999999999997">
      <c r="A456" s="6">
        <v>43442.420844907407</v>
      </c>
      <c r="B456" s="7" t="str">
        <f>HYPERLINK("https://twitter.com/xanka66","@xanka66")</f>
        <v>@xanka66</v>
      </c>
      <c r="C456" s="8" t="s">
        <v>3014</v>
      </c>
      <c r="D456" s="9" t="s">
        <v>3015</v>
      </c>
      <c r="E456" s="10" t="str">
        <f>HYPERLINK("https://twitter.com/xanka66/status/1071330045631913984","1071330045631913984")</f>
        <v>1071330045631913984</v>
      </c>
      <c r="F456" s="12" t="s">
        <v>3016</v>
      </c>
      <c r="G456" s="11"/>
      <c r="H456" s="11"/>
      <c r="I456" s="13">
        <v>0</v>
      </c>
      <c r="J456" s="13">
        <v>0</v>
      </c>
      <c r="K456" s="14" t="str">
        <f t="shared" ref="K456:K457" si="83">HYPERLINK("http://twitter.com/download/iphone","Twitter for iPhone")</f>
        <v>Twitter for iPhone</v>
      </c>
      <c r="L456" s="13">
        <v>64</v>
      </c>
      <c r="M456" s="13">
        <v>166</v>
      </c>
      <c r="N456" s="13">
        <v>1</v>
      </c>
      <c r="O456" s="15"/>
      <c r="P456" s="6">
        <v>41474.302430555559</v>
      </c>
      <c r="Q456" s="18" t="s">
        <v>3019</v>
      </c>
      <c r="R456" s="19" t="s">
        <v>3020</v>
      </c>
      <c r="S456" s="11"/>
      <c r="T456" s="11"/>
      <c r="U456" s="10" t="str">
        <f>HYPERLINK("https://pbs.twimg.com/profile_images/872297517874118657/E9O65nCL.jpg","View")</f>
        <v>View</v>
      </c>
    </row>
    <row r="457" spans="1:21" ht="20.399999999999999">
      <c r="A457" s="6">
        <v>43442.419305555552</v>
      </c>
      <c r="B457" s="7" t="str">
        <f>HYPERLINK("https://twitter.com/peris_vigo","@peris_vigo")</f>
        <v>@peris_vigo</v>
      </c>
      <c r="C457" s="8" t="s">
        <v>3023</v>
      </c>
      <c r="D457" s="9" t="s">
        <v>3024</v>
      </c>
      <c r="E457" s="10" t="str">
        <f>HYPERLINK("https://twitter.com/peris_vigo/status/1071329486212337664","1071329486212337664")</f>
        <v>1071329486212337664</v>
      </c>
      <c r="F457" s="12" t="s">
        <v>3026</v>
      </c>
      <c r="G457" s="11"/>
      <c r="H457" s="11"/>
      <c r="I457" s="13">
        <v>11</v>
      </c>
      <c r="J457" s="13">
        <v>11</v>
      </c>
      <c r="K457" s="14" t="str">
        <f t="shared" si="83"/>
        <v>Twitter for iPhone</v>
      </c>
      <c r="L457" s="13">
        <v>473</v>
      </c>
      <c r="M457" s="13">
        <v>888</v>
      </c>
      <c r="N457" s="13">
        <v>8</v>
      </c>
      <c r="O457" s="15"/>
      <c r="P457" s="6">
        <v>42511.745196759264</v>
      </c>
      <c r="Q457" s="11"/>
      <c r="R457" s="19" t="s">
        <v>3027</v>
      </c>
      <c r="S457" s="11"/>
      <c r="T457" s="11"/>
      <c r="U457" s="10" t="str">
        <f>HYPERLINK("https://pbs.twimg.com/profile_images/974209436406382592/CZfam4tq.jpg","View")</f>
        <v>View</v>
      </c>
    </row>
    <row r="458" spans="1:21" ht="20.399999999999999">
      <c r="A458" s="6">
        <v>43442.418900462959</v>
      </c>
      <c r="B458" s="7" t="str">
        <f>HYPERLINK("https://twitter.com/KALERGIPLAN3","@KALERGIPLAN3")</f>
        <v>@KALERGIPLAN3</v>
      </c>
      <c r="C458" s="8" t="s">
        <v>3028</v>
      </c>
      <c r="D458" s="9" t="s">
        <v>279</v>
      </c>
      <c r="E458" s="10" t="str">
        <f>HYPERLINK("https://twitter.com/KALERGIPLAN3/status/1071329339952779264","1071329339952779264")</f>
        <v>1071329339952779264</v>
      </c>
      <c r="F458" s="12" t="s">
        <v>280</v>
      </c>
      <c r="G458" s="11"/>
      <c r="H458" s="11"/>
      <c r="I458" s="13">
        <v>0</v>
      </c>
      <c r="J458" s="13">
        <v>0</v>
      </c>
      <c r="K458" s="14" t="str">
        <f>HYPERLINK("http://twitter.com","Twitter Web Client")</f>
        <v>Twitter Web Client</v>
      </c>
      <c r="L458" s="13">
        <v>759</v>
      </c>
      <c r="M458" s="13">
        <v>1224</v>
      </c>
      <c r="N458" s="13">
        <v>4</v>
      </c>
      <c r="O458" s="15"/>
      <c r="P458" s="6">
        <v>43126.55405092593</v>
      </c>
      <c r="Q458" s="18" t="s">
        <v>3030</v>
      </c>
      <c r="R458" s="19" t="s">
        <v>3031</v>
      </c>
      <c r="S458" s="11"/>
      <c r="T458" s="11"/>
      <c r="U458" s="10" t="str">
        <f>HYPERLINK("https://pbs.twimg.com/profile_images/957285491707121664/UefjbD3b.jpg","View")</f>
        <v>View</v>
      </c>
    </row>
    <row r="459" spans="1:21" ht="51">
      <c r="A459" s="6">
        <v>43442.418657407412</v>
      </c>
      <c r="B459" s="7" t="str">
        <f>HYPERLINK("https://twitter.com/PilotoRojo73","@PilotoRojo73")</f>
        <v>@PilotoRojo73</v>
      </c>
      <c r="C459" s="8" t="s">
        <v>901</v>
      </c>
      <c r="D459" s="9" t="s">
        <v>902</v>
      </c>
      <c r="E459" s="10" t="str">
        <f>HYPERLINK("https://twitter.com/PilotoRojo73/status/1071329250056245248","1071329250056245248")</f>
        <v>1071329250056245248</v>
      </c>
      <c r="F459" s="11"/>
      <c r="G459" s="11"/>
      <c r="H459" s="11"/>
      <c r="I459" s="13">
        <v>31</v>
      </c>
      <c r="J459" s="13">
        <v>75</v>
      </c>
      <c r="K459" s="14" t="str">
        <f>HYPERLINK("https://mobile.twitter.com","Twitter Lite")</f>
        <v>Twitter Lite</v>
      </c>
      <c r="L459" s="13">
        <v>10333</v>
      </c>
      <c r="M459" s="13">
        <v>7951</v>
      </c>
      <c r="N459" s="13">
        <v>61</v>
      </c>
      <c r="O459" s="15"/>
      <c r="P459" s="6">
        <v>42494.038310185184</v>
      </c>
      <c r="Q459" s="18" t="s">
        <v>906</v>
      </c>
      <c r="R459" s="19" t="s">
        <v>907</v>
      </c>
      <c r="S459" s="12" t="s">
        <v>908</v>
      </c>
      <c r="T459" s="11"/>
      <c r="U459" s="10" t="str">
        <f>HYPERLINK("https://pbs.twimg.com/profile_images/1051228030612492288/ocTykL51.jpg","View")</f>
        <v>View</v>
      </c>
    </row>
    <row r="460" spans="1:21" ht="51">
      <c r="A460" s="6">
        <v>43442.417812500003</v>
      </c>
      <c r="B460" s="7" t="str">
        <f>HYPERLINK("https://twitter.com/CastulJimez","@CastulJimez")</f>
        <v>@CastulJimez</v>
      </c>
      <c r="C460" s="8" t="s">
        <v>910</v>
      </c>
      <c r="D460" s="9" t="s">
        <v>911</v>
      </c>
      <c r="E460" s="10" t="str">
        <f>HYPERLINK("https://twitter.com/CastulJimez/status/1071328943284854785","1071328943284854785")</f>
        <v>1071328943284854785</v>
      </c>
      <c r="F460" s="12" t="s">
        <v>913</v>
      </c>
      <c r="G460" s="12" t="s">
        <v>914</v>
      </c>
      <c r="H460" s="11"/>
      <c r="I460" s="13">
        <v>1</v>
      </c>
      <c r="J460" s="13">
        <v>2</v>
      </c>
      <c r="K460" s="14" t="str">
        <f>HYPERLINK("http://twitter.com/download/android","Twitter for Android")</f>
        <v>Twitter for Android</v>
      </c>
      <c r="L460" s="13">
        <v>1323</v>
      </c>
      <c r="M460" s="13">
        <v>1346</v>
      </c>
      <c r="N460" s="13">
        <v>6</v>
      </c>
      <c r="O460" s="15"/>
      <c r="P460" s="6">
        <v>42186.589236111111</v>
      </c>
      <c r="Q460" s="11"/>
      <c r="R460" s="19" t="s">
        <v>915</v>
      </c>
      <c r="S460" s="11"/>
      <c r="T460" s="11"/>
      <c r="U460" s="10" t="str">
        <f>HYPERLINK("https://pbs.twimg.com/profile_images/1054858820642631680/6lVzoQrO.jpg","View")</f>
        <v>View</v>
      </c>
    </row>
    <row r="461" spans="1:21" ht="51">
      <c r="A461" s="6">
        <v>43442.417569444442</v>
      </c>
      <c r="B461" s="7" t="str">
        <f>HYPERLINK("https://twitter.com/arabarea","@arabarea")</f>
        <v>@arabarea</v>
      </c>
      <c r="C461" s="8" t="s">
        <v>917</v>
      </c>
      <c r="D461" s="9" t="s">
        <v>918</v>
      </c>
      <c r="E461" s="10" t="str">
        <f>HYPERLINK("https://twitter.com/arabarea/status/1071328855233884160","1071328855233884160")</f>
        <v>1071328855233884160</v>
      </c>
      <c r="F461" s="12" t="s">
        <v>919</v>
      </c>
      <c r="G461" s="11"/>
      <c r="H461" s="11"/>
      <c r="I461" s="13">
        <v>1</v>
      </c>
      <c r="J461" s="13">
        <v>1</v>
      </c>
      <c r="K461" s="14" t="str">
        <f>HYPERLINK("http://twitter.com","Twitter Web Client")</f>
        <v>Twitter Web Client</v>
      </c>
      <c r="L461" s="13">
        <v>1236</v>
      </c>
      <c r="M461" s="13">
        <v>1154</v>
      </c>
      <c r="N461" s="13">
        <v>2</v>
      </c>
      <c r="O461" s="15"/>
      <c r="P461" s="6">
        <v>40773.888831018521</v>
      </c>
      <c r="Q461" s="18" t="s">
        <v>920</v>
      </c>
      <c r="R461" s="19" t="s">
        <v>921</v>
      </c>
      <c r="S461" s="11"/>
      <c r="T461" s="11"/>
      <c r="U461" s="10" t="str">
        <f>HYPERLINK("https://pbs.twimg.com/profile_images/1070408693622157313/uEnrnqz1.jpg","View")</f>
        <v>View</v>
      </c>
    </row>
    <row r="462" spans="1:21" ht="40.799999999999997">
      <c r="A462" s="6">
        <v>43442.415509259255</v>
      </c>
      <c r="B462" s="7" t="str">
        <f>HYPERLINK("https://twitter.com/ariasmarkes","@ariasmarkes")</f>
        <v>@ariasmarkes</v>
      </c>
      <c r="C462" s="8" t="s">
        <v>3050</v>
      </c>
      <c r="D462" s="9" t="s">
        <v>3051</v>
      </c>
      <c r="E462" s="10" t="str">
        <f>HYPERLINK("https://twitter.com/ariasmarkes/status/1071328111994855424","1071328111994855424")</f>
        <v>1071328111994855424</v>
      </c>
      <c r="F462" s="11"/>
      <c r="G462" s="11"/>
      <c r="H462" s="11"/>
      <c r="I462" s="13">
        <v>3</v>
      </c>
      <c r="J462" s="13">
        <v>3</v>
      </c>
      <c r="K462" s="14" t="str">
        <f t="shared" ref="K462:K464" si="84">HYPERLINK("http://twitter.com/download/android","Twitter for Android")</f>
        <v>Twitter for Android</v>
      </c>
      <c r="L462" s="13">
        <v>2548</v>
      </c>
      <c r="M462" s="13">
        <v>4933</v>
      </c>
      <c r="N462" s="13">
        <v>5</v>
      </c>
      <c r="O462" s="15"/>
      <c r="P462" s="6">
        <v>42748.649421296301</v>
      </c>
      <c r="Q462" s="11"/>
      <c r="R462" s="19" t="s">
        <v>3053</v>
      </c>
      <c r="S462" s="11"/>
      <c r="T462" s="11"/>
      <c r="U462" s="10" t="str">
        <f>HYPERLINK("https://pbs.twimg.com/profile_images/863875738436587521/O8340iPn.jpg","View")</f>
        <v>View</v>
      </c>
    </row>
    <row r="463" spans="1:21" ht="61.2">
      <c r="A463" s="6">
        <v>43442.414490740739</v>
      </c>
      <c r="B463" s="7" t="str">
        <f>HYPERLINK("https://twitter.com/mipacaab","@mipacaab")</f>
        <v>@mipacaab</v>
      </c>
      <c r="C463" s="8" t="s">
        <v>3055</v>
      </c>
      <c r="D463" s="9" t="s">
        <v>3056</v>
      </c>
      <c r="E463" s="10" t="str">
        <f>HYPERLINK("https://twitter.com/mipacaab/status/1071327741939716096","1071327741939716096")</f>
        <v>1071327741939716096</v>
      </c>
      <c r="F463" s="12" t="s">
        <v>3058</v>
      </c>
      <c r="G463" s="12" t="s">
        <v>3059</v>
      </c>
      <c r="H463" s="11"/>
      <c r="I463" s="13">
        <v>0</v>
      </c>
      <c r="J463" s="13">
        <v>0</v>
      </c>
      <c r="K463" s="14" t="str">
        <f t="shared" si="84"/>
        <v>Twitter for Android</v>
      </c>
      <c r="L463" s="13">
        <v>174</v>
      </c>
      <c r="M463" s="13">
        <v>358</v>
      </c>
      <c r="N463" s="13">
        <v>1</v>
      </c>
      <c r="O463" s="15"/>
      <c r="P463" s="6">
        <v>41726.002129629633</v>
      </c>
      <c r="Q463" s="18" t="s">
        <v>260</v>
      </c>
      <c r="R463" s="19" t="s">
        <v>3060</v>
      </c>
      <c r="S463" s="11"/>
      <c r="T463" s="11"/>
      <c r="U463" s="10" t="str">
        <f>HYPERLINK("https://pbs.twimg.com/profile_images/825782586697990144/UiV1RREF.jpg","View")</f>
        <v>View</v>
      </c>
    </row>
    <row r="464" spans="1:21" ht="51">
      <c r="A464" s="6">
        <v>43442.414120370369</v>
      </c>
      <c r="B464" s="7" t="str">
        <f>HYPERLINK("https://twitter.com/TheLycan47","@TheLycan47")</f>
        <v>@TheLycan47</v>
      </c>
      <c r="C464" s="8" t="s">
        <v>3064</v>
      </c>
      <c r="D464" s="9" t="s">
        <v>3066</v>
      </c>
      <c r="E464" s="10" t="str">
        <f>HYPERLINK("https://twitter.com/TheLycan47/status/1071327607646576640","1071327607646576640")</f>
        <v>1071327607646576640</v>
      </c>
      <c r="F464" s="12" t="s">
        <v>3069</v>
      </c>
      <c r="G464" s="12" t="s">
        <v>3070</v>
      </c>
      <c r="H464" s="11"/>
      <c r="I464" s="13">
        <v>0</v>
      </c>
      <c r="J464" s="13">
        <v>0</v>
      </c>
      <c r="K464" s="14" t="str">
        <f t="shared" si="84"/>
        <v>Twitter for Android</v>
      </c>
      <c r="L464" s="13">
        <v>999</v>
      </c>
      <c r="M464" s="13">
        <v>578</v>
      </c>
      <c r="N464" s="13">
        <v>4</v>
      </c>
      <c r="O464" s="15"/>
      <c r="P464" s="6">
        <v>40697.608923611115</v>
      </c>
      <c r="Q464" s="11"/>
      <c r="R464" s="19" t="s">
        <v>3072</v>
      </c>
      <c r="S464" s="11"/>
      <c r="T464" s="11"/>
      <c r="U464" s="10" t="str">
        <f>HYPERLINK("https://pbs.twimg.com/profile_images/3344636438/ecdebb6d50150f4caa5e6df187c481c4.jpeg","View")</f>
        <v>View</v>
      </c>
    </row>
    <row r="465" spans="1:21" ht="71.400000000000006">
      <c r="A465" s="6">
        <v>43442.411736111113</v>
      </c>
      <c r="B465" s="7" t="str">
        <f>HYPERLINK("https://twitter.com/Ke_Les_Den","@Ke_Les_Den")</f>
        <v>@Ke_Les_Den</v>
      </c>
      <c r="C465" s="8" t="s">
        <v>925</v>
      </c>
      <c r="D465" s="9" t="s">
        <v>926</v>
      </c>
      <c r="E465" s="10" t="str">
        <f>HYPERLINK("https://twitter.com/Ke_Les_Den/status/1071326741774458880","1071326741774458880")</f>
        <v>1071326741774458880</v>
      </c>
      <c r="F465" s="18" t="s">
        <v>929</v>
      </c>
      <c r="G465" s="11"/>
      <c r="H465" s="11"/>
      <c r="I465" s="13">
        <v>5</v>
      </c>
      <c r="J465" s="13">
        <v>10</v>
      </c>
      <c r="K465" s="14" t="str">
        <f>HYPERLINK("http://twitter.com","Twitter Web Client")</f>
        <v>Twitter Web Client</v>
      </c>
      <c r="L465" s="13">
        <v>861</v>
      </c>
      <c r="M465" s="13">
        <v>1970</v>
      </c>
      <c r="N465" s="13">
        <v>1</v>
      </c>
      <c r="O465" s="15"/>
      <c r="P465" s="6">
        <v>42849.633483796293</v>
      </c>
      <c r="Q465" s="11"/>
      <c r="R465" s="19" t="s">
        <v>932</v>
      </c>
      <c r="S465" s="11"/>
      <c r="T465" s="11"/>
      <c r="U465" s="10" t="str">
        <f>HYPERLINK("https://pbs.twimg.com/profile_images/856777751755358208/AquT2MXe.jpg","View")</f>
        <v>View</v>
      </c>
    </row>
    <row r="466" spans="1:21" ht="40.799999999999997">
      <c r="A466" s="6">
        <v>43442.411655092597</v>
      </c>
      <c r="B466" s="7" t="str">
        <f>HYPERLINK("https://twitter.com/podemosxronda","@podemosxronda")</f>
        <v>@podemosxronda</v>
      </c>
      <c r="C466" s="8" t="s">
        <v>3082</v>
      </c>
      <c r="D466" s="9" t="s">
        <v>1357</v>
      </c>
      <c r="E466" s="10" t="str">
        <f>HYPERLINK("https://twitter.com/podemosxronda/status/1071326715547389952","1071326715547389952")</f>
        <v>1071326715547389952</v>
      </c>
      <c r="F466" s="12" t="s">
        <v>49</v>
      </c>
      <c r="G466" s="11"/>
      <c r="H466" s="11"/>
      <c r="I466" s="13">
        <v>0</v>
      </c>
      <c r="J466" s="13">
        <v>0</v>
      </c>
      <c r="K466" s="14" t="str">
        <f>HYPERLINK("http://www.facebook.com/twitter","Facebook")</f>
        <v>Facebook</v>
      </c>
      <c r="L466" s="13">
        <v>349</v>
      </c>
      <c r="M466" s="13">
        <v>606</v>
      </c>
      <c r="N466" s="13">
        <v>4</v>
      </c>
      <c r="O466" s="15"/>
      <c r="P466" s="6">
        <v>42285.735937500001</v>
      </c>
      <c r="Q466" s="18" t="s">
        <v>3084</v>
      </c>
      <c r="R466" s="19" t="s">
        <v>3085</v>
      </c>
      <c r="S466" s="12" t="s">
        <v>3086</v>
      </c>
      <c r="T466" s="11"/>
      <c r="U466" s="10" t="str">
        <f>HYPERLINK("https://pbs.twimg.com/profile_images/717131145788399616/M_R7U1AI.jpg","View")</f>
        <v>View</v>
      </c>
    </row>
    <row r="467" spans="1:21" ht="91.8">
      <c r="A467" s="6">
        <v>43442.41134259259</v>
      </c>
      <c r="B467" s="7" t="str">
        <f>HYPERLINK("https://twitter.com/Evangewis","@Evangewis")</f>
        <v>@Evangewis</v>
      </c>
      <c r="C467" s="8" t="s">
        <v>936</v>
      </c>
      <c r="D467" s="9" t="s">
        <v>937</v>
      </c>
      <c r="E467" s="10" t="str">
        <f>HYPERLINK("https://twitter.com/Evangewis/status/1071326599449063424","1071326599449063424")</f>
        <v>1071326599449063424</v>
      </c>
      <c r="F467" s="18" t="s">
        <v>940</v>
      </c>
      <c r="G467" s="11"/>
      <c r="H467" s="11"/>
      <c r="I467" s="13">
        <v>0</v>
      </c>
      <c r="J467" s="13">
        <v>0</v>
      </c>
      <c r="K467" s="14" t="str">
        <f>HYPERLINK("http://twitter.com","Twitter Web Client")</f>
        <v>Twitter Web Client</v>
      </c>
      <c r="L467" s="13">
        <v>108</v>
      </c>
      <c r="M467" s="13">
        <v>518</v>
      </c>
      <c r="N467" s="13">
        <v>1</v>
      </c>
      <c r="O467" s="15"/>
      <c r="P467" s="6">
        <v>40759.560983796298</v>
      </c>
      <c r="Q467" s="11"/>
      <c r="R467" s="19" t="s">
        <v>941</v>
      </c>
      <c r="S467" s="11"/>
      <c r="T467" s="11"/>
      <c r="U467" s="10" t="str">
        <f>HYPERLINK("https://pbs.twimg.com/profile_images/860057432487276545/fIKAwv0p.jpg","View")</f>
        <v>View</v>
      </c>
    </row>
    <row r="468" spans="1:21" ht="20.399999999999999">
      <c r="A468" s="6">
        <v>43442.411250000005</v>
      </c>
      <c r="B468" s="7" t="str">
        <f>HYPERLINK("https://twitter.com/giuliano197410","@giuliano197410")</f>
        <v>@giuliano197410</v>
      </c>
      <c r="C468" s="8" t="s">
        <v>3092</v>
      </c>
      <c r="D468" s="9" t="s">
        <v>163</v>
      </c>
      <c r="E468" s="10" t="str">
        <f>HYPERLINK("https://twitter.com/giuliano197410/status/1071326568562208770","1071326568562208770")</f>
        <v>1071326568562208770</v>
      </c>
      <c r="F468" s="12" t="s">
        <v>166</v>
      </c>
      <c r="G468" s="11"/>
      <c r="H468" s="11"/>
      <c r="I468" s="13">
        <v>0</v>
      </c>
      <c r="J468" s="13">
        <v>0</v>
      </c>
      <c r="K468" s="14" t="str">
        <f>HYPERLINK("http://twitter.com/download/android","Twitter for Android")</f>
        <v>Twitter for Android</v>
      </c>
      <c r="L468" s="13">
        <v>161</v>
      </c>
      <c r="M468" s="13">
        <v>219</v>
      </c>
      <c r="N468" s="13">
        <v>0</v>
      </c>
      <c r="O468" s="15"/>
      <c r="P468" s="6">
        <v>42062.888032407413</v>
      </c>
      <c r="Q468" s="18" t="s">
        <v>42</v>
      </c>
      <c r="R468" s="17"/>
      <c r="S468" s="11"/>
      <c r="T468" s="11"/>
      <c r="U468" s="10" t="str">
        <f>HYPERLINK("https://pbs.twimg.com/profile_images/581433662601895936/ZZ3FF9K5.jpg","View")</f>
        <v>View</v>
      </c>
    </row>
    <row r="469" spans="1:21" ht="40.799999999999997">
      <c r="A469" s="6">
        <v>43442.410254629634</v>
      </c>
      <c r="B469" s="7" t="str">
        <f>HYPERLINK("https://twitter.com/CasoAislado_Es","@CasoAislado_Es")</f>
        <v>@CasoAislado_Es</v>
      </c>
      <c r="C469" s="8" t="s">
        <v>1812</v>
      </c>
      <c r="D469" s="9" t="s">
        <v>3096</v>
      </c>
      <c r="E469" s="10" t="str">
        <f>HYPERLINK("https://twitter.com/CasoAislado_Es/status/1071326205570355201","1071326205570355201")</f>
        <v>1071326205570355201</v>
      </c>
      <c r="F469" s="12" t="s">
        <v>77</v>
      </c>
      <c r="G469" s="11"/>
      <c r="H469" s="11"/>
      <c r="I469" s="13">
        <v>40</v>
      </c>
      <c r="J469" s="13">
        <v>58</v>
      </c>
      <c r="K469" s="14" t="str">
        <f>HYPERLINK("http://twitter.com","Twitter Web Client")</f>
        <v>Twitter Web Client</v>
      </c>
      <c r="L469" s="13">
        <v>21475</v>
      </c>
      <c r="M469" s="13">
        <v>6353</v>
      </c>
      <c r="N469" s="13">
        <v>153</v>
      </c>
      <c r="O469" s="15"/>
      <c r="P469" s="6">
        <v>40257.560439814813</v>
      </c>
      <c r="Q469" s="18" t="s">
        <v>114</v>
      </c>
      <c r="R469" s="19" t="s">
        <v>1820</v>
      </c>
      <c r="S469" s="12" t="s">
        <v>1821</v>
      </c>
      <c r="T469" s="11"/>
      <c r="U469" s="10" t="str">
        <f>HYPERLINK("https://pbs.twimg.com/profile_images/818503412702707713/QK1J8CEn.jpg","View")</f>
        <v>View</v>
      </c>
    </row>
    <row r="470" spans="1:21" ht="30.6">
      <c r="A470" s="6">
        <v>43442.409016203703</v>
      </c>
      <c r="B470" s="7" t="str">
        <f>HYPERLINK("https://twitter.com/JaimeMasmiquel","@JaimeMasmiquel")</f>
        <v>@JaimeMasmiquel</v>
      </c>
      <c r="C470" s="8" t="s">
        <v>3101</v>
      </c>
      <c r="D470" s="9" t="s">
        <v>3102</v>
      </c>
      <c r="E470" s="10" t="str">
        <f>HYPERLINK("https://twitter.com/JaimeMasmiquel/status/1071325758298173440","1071325758298173440")</f>
        <v>1071325758298173440</v>
      </c>
      <c r="F470" s="11"/>
      <c r="G470" s="11"/>
      <c r="H470" s="11"/>
      <c r="I470" s="13">
        <v>0</v>
      </c>
      <c r="J470" s="13">
        <v>0</v>
      </c>
      <c r="K470" s="14" t="str">
        <f>HYPERLINK("http://twitter.com/download/iphone","Twitter for iPhone")</f>
        <v>Twitter for iPhone</v>
      </c>
      <c r="L470" s="13">
        <v>60</v>
      </c>
      <c r="M470" s="13">
        <v>115</v>
      </c>
      <c r="N470" s="13">
        <v>0</v>
      </c>
      <c r="O470" s="15"/>
      <c r="P470" s="6">
        <v>40843.928796296299</v>
      </c>
      <c r="Q470" s="18" t="s">
        <v>2110</v>
      </c>
      <c r="R470" s="17"/>
      <c r="S470" s="11"/>
      <c r="T470" s="11"/>
      <c r="U470" s="10" t="str">
        <f>HYPERLINK("https://pbs.twimg.com/profile_images/656189988938326016/q4_KItq5.jpg","View")</f>
        <v>View</v>
      </c>
    </row>
    <row r="471" spans="1:21" ht="20.399999999999999">
      <c r="A471" s="6">
        <v>43442.408576388887</v>
      </c>
      <c r="B471" s="7" t="str">
        <f>HYPERLINK("https://twitter.com/neton_hyspano","@neton_hyspano")</f>
        <v>@neton_hyspano</v>
      </c>
      <c r="C471" s="8" t="s">
        <v>3106</v>
      </c>
      <c r="D471" s="9" t="s">
        <v>279</v>
      </c>
      <c r="E471" s="10" t="str">
        <f>HYPERLINK("https://twitter.com/neton_hyspano/status/1071325598855938048","1071325598855938048")</f>
        <v>1071325598855938048</v>
      </c>
      <c r="F471" s="12" t="s">
        <v>280</v>
      </c>
      <c r="G471" s="11"/>
      <c r="H471" s="11"/>
      <c r="I471" s="13">
        <v>0</v>
      </c>
      <c r="J471" s="13">
        <v>0</v>
      </c>
      <c r="K471" s="14" t="str">
        <f>HYPERLINK("http://twitter.com","Twitter Web Client")</f>
        <v>Twitter Web Client</v>
      </c>
      <c r="L471" s="13">
        <v>585</v>
      </c>
      <c r="M471" s="13">
        <v>805</v>
      </c>
      <c r="N471" s="13">
        <v>1</v>
      </c>
      <c r="O471" s="15"/>
      <c r="P471" s="6">
        <v>41244.554618055554</v>
      </c>
      <c r="Q471" s="18" t="s">
        <v>42</v>
      </c>
      <c r="R471" s="19" t="s">
        <v>3111</v>
      </c>
      <c r="S471" s="11"/>
      <c r="T471" s="11"/>
      <c r="U471" s="10" t="str">
        <f>HYPERLINK("https://pbs.twimg.com/profile_images/823118189777317889/TiQ0nvfT.jpg","View")</f>
        <v>View</v>
      </c>
    </row>
    <row r="472" spans="1:21" ht="61.2">
      <c r="A472" s="6">
        <v>43442.408414351856</v>
      </c>
      <c r="B472" s="7" t="str">
        <f>HYPERLINK("https://twitter.com/Velherro","@Velherro")</f>
        <v>@Velherro</v>
      </c>
      <c r="C472" s="8" t="s">
        <v>943</v>
      </c>
      <c r="D472" s="9" t="s">
        <v>944</v>
      </c>
      <c r="E472" s="10" t="str">
        <f>HYPERLINK("https://twitter.com/Velherro/status/1071325538860654593","1071325538860654593")</f>
        <v>1071325538860654593</v>
      </c>
      <c r="F472" s="11"/>
      <c r="G472" s="12" t="s">
        <v>946</v>
      </c>
      <c r="H472" s="11"/>
      <c r="I472" s="13">
        <v>37</v>
      </c>
      <c r="J472" s="13">
        <v>50</v>
      </c>
      <c r="K472" s="14" t="str">
        <f>HYPERLINK("http://twitter.com/download/iphone","Twitter for iPhone")</f>
        <v>Twitter for iPhone</v>
      </c>
      <c r="L472" s="13">
        <v>4967</v>
      </c>
      <c r="M472" s="13">
        <v>3469</v>
      </c>
      <c r="N472" s="13">
        <v>33</v>
      </c>
      <c r="O472" s="15"/>
      <c r="P472" s="6">
        <v>40784.657280092593</v>
      </c>
      <c r="Q472" s="11"/>
      <c r="R472" s="19" t="s">
        <v>948</v>
      </c>
      <c r="S472" s="11"/>
      <c r="T472" s="11"/>
      <c r="U472" s="10" t="str">
        <f>HYPERLINK("https://pbs.twimg.com/profile_images/1066821980748435457/yL5TzB_F.jpg","View")</f>
        <v>View</v>
      </c>
    </row>
    <row r="473" spans="1:21" ht="71.400000000000006">
      <c r="A473" s="6">
        <v>43442.407314814816</v>
      </c>
      <c r="B473" s="7" t="str">
        <f>HYPERLINK("https://twitter.com/TeresAtrazos","@TeresAtrazos")</f>
        <v>@TeresAtrazos</v>
      </c>
      <c r="C473" s="8" t="s">
        <v>3119</v>
      </c>
      <c r="D473" s="9" t="s">
        <v>3120</v>
      </c>
      <c r="E473" s="10" t="str">
        <f>HYPERLINK("https://twitter.com/TeresAtrazos/status/1071325139382558721","1071325139382558721")</f>
        <v>1071325139382558721</v>
      </c>
      <c r="F473" s="18" t="s">
        <v>3121</v>
      </c>
      <c r="G473" s="11"/>
      <c r="H473" s="11"/>
      <c r="I473" s="13">
        <v>0</v>
      </c>
      <c r="J473" s="13">
        <v>0</v>
      </c>
      <c r="K473" s="14" t="str">
        <f>HYPERLINK("http://twitter.com/download/android","Twitter for Android")</f>
        <v>Twitter for Android</v>
      </c>
      <c r="L473" s="13">
        <v>1568</v>
      </c>
      <c r="M473" s="13">
        <v>1748</v>
      </c>
      <c r="N473" s="13">
        <v>50</v>
      </c>
      <c r="O473" s="15"/>
      <c r="P473" s="6">
        <v>40922.926354166666</v>
      </c>
      <c r="Q473" s="18" t="s">
        <v>3124</v>
      </c>
      <c r="R473" s="19" t="s">
        <v>3125</v>
      </c>
      <c r="S473" s="11"/>
      <c r="T473" s="11"/>
      <c r="U473" s="10" t="str">
        <f>HYPERLINK("https://pbs.twimg.com/profile_images/969042018692411393/-A6E1TVi.jpg","View")</f>
        <v>View</v>
      </c>
    </row>
    <row r="474" spans="1:21" ht="30.6">
      <c r="A474" s="6">
        <v>43442.40697916667</v>
      </c>
      <c r="B474" s="7" t="str">
        <f>HYPERLINK("https://twitter.com/galavictor","@galavictor")</f>
        <v>@galavictor</v>
      </c>
      <c r="C474" s="8" t="s">
        <v>3126</v>
      </c>
      <c r="D474" s="9" t="s">
        <v>3127</v>
      </c>
      <c r="E474" s="10" t="str">
        <f>HYPERLINK("https://twitter.com/galavictor/status/1071325020000083968","1071325020000083968")</f>
        <v>1071325020000083968</v>
      </c>
      <c r="F474" s="11"/>
      <c r="G474" s="11"/>
      <c r="H474" s="11"/>
      <c r="I474" s="13">
        <v>0</v>
      </c>
      <c r="J474" s="13">
        <v>0</v>
      </c>
      <c r="K474" s="14" t="str">
        <f>HYPERLINK("https://mobile.twitter.com","Twitter Lite")</f>
        <v>Twitter Lite</v>
      </c>
      <c r="L474" s="13">
        <v>7</v>
      </c>
      <c r="M474" s="13">
        <v>26</v>
      </c>
      <c r="N474" s="13">
        <v>0</v>
      </c>
      <c r="O474" s="15"/>
      <c r="P474" s="6">
        <v>40579.862326388888</v>
      </c>
      <c r="Q474" s="11"/>
      <c r="R474" s="19" t="s">
        <v>3131</v>
      </c>
      <c r="S474" s="11"/>
      <c r="T474" s="11"/>
      <c r="U474" s="10" t="str">
        <f>HYPERLINK("https://pbs.twimg.com/profile_images/807721728726171649/f3nRVx4K.jpg","View")</f>
        <v>View</v>
      </c>
    </row>
    <row r="475" spans="1:21" ht="61.2">
      <c r="A475" s="6">
        <v>43442.406504629631</v>
      </c>
      <c r="B475" s="7" t="str">
        <f>HYPERLINK("https://twitter.com/Podemeixample","@Podemeixample")</f>
        <v>@Podemeixample</v>
      </c>
      <c r="C475" s="8" t="s">
        <v>3134</v>
      </c>
      <c r="D475" s="9" t="s">
        <v>3136</v>
      </c>
      <c r="E475" s="10" t="str">
        <f>HYPERLINK("https://twitter.com/Podemeixample/status/1071324847995801600","1071324847995801600")</f>
        <v>1071324847995801600</v>
      </c>
      <c r="F475" s="12" t="s">
        <v>1031</v>
      </c>
      <c r="G475" s="12" t="s">
        <v>1032</v>
      </c>
      <c r="H475" s="11"/>
      <c r="I475" s="13">
        <v>0</v>
      </c>
      <c r="J475" s="13">
        <v>1</v>
      </c>
      <c r="K475" s="14" t="str">
        <f>HYPERLINK("http://twitter.com/download/iphone","Twitter for iPhone")</f>
        <v>Twitter for iPhone</v>
      </c>
      <c r="L475" s="13">
        <v>209</v>
      </c>
      <c r="M475" s="13">
        <v>506</v>
      </c>
      <c r="N475" s="13">
        <v>0</v>
      </c>
      <c r="O475" s="15"/>
      <c r="P475" s="6">
        <v>42338.49628472222</v>
      </c>
      <c r="Q475" s="18" t="s">
        <v>246</v>
      </c>
      <c r="R475" s="17"/>
      <c r="S475" s="11"/>
      <c r="T475" s="11"/>
      <c r="U475" s="10" t="str">
        <f>HYPERLINK("https://pbs.twimg.com/profile_images/750356040097624064/xaj-Nrm7.jpg","View")</f>
        <v>View</v>
      </c>
    </row>
    <row r="476" spans="1:21" ht="13.2">
      <c r="A476" s="6">
        <v>43442.406435185185</v>
      </c>
      <c r="B476" s="7" t="str">
        <f>HYPERLINK("https://twitter.com/matdy42","@matdy42")</f>
        <v>@matdy42</v>
      </c>
      <c r="C476" s="8" t="s">
        <v>3142</v>
      </c>
      <c r="D476" s="9" t="s">
        <v>612</v>
      </c>
      <c r="E476" s="10" t="str">
        <f>HYPERLINK("https://twitter.com/matdy42/status/1071324821395595264","1071324821395595264")</f>
        <v>1071324821395595264</v>
      </c>
      <c r="F476" s="12" t="s">
        <v>49</v>
      </c>
      <c r="G476" s="11"/>
      <c r="H476" s="11"/>
      <c r="I476" s="13">
        <v>0</v>
      </c>
      <c r="J476" s="13">
        <v>0</v>
      </c>
      <c r="K476" s="14" t="str">
        <f>HYPERLINK("http://twitter.com/download/android","Twitter for Android")</f>
        <v>Twitter for Android</v>
      </c>
      <c r="L476" s="13">
        <v>79</v>
      </c>
      <c r="M476" s="13">
        <v>259</v>
      </c>
      <c r="N476" s="13">
        <v>2</v>
      </c>
      <c r="O476" s="15"/>
      <c r="P476" s="6">
        <v>40761.609699074077</v>
      </c>
      <c r="Q476" s="18" t="s">
        <v>42</v>
      </c>
      <c r="R476" s="17"/>
      <c r="S476" s="11"/>
      <c r="T476" s="11"/>
      <c r="U476" s="10" t="str">
        <f>HYPERLINK("https://pbs.twimg.com/profile_images/909133272797544448/P2gdgUuJ.jpg","View")</f>
        <v>View</v>
      </c>
    </row>
    <row r="477" spans="1:21" ht="20.399999999999999">
      <c r="A477" s="6">
        <v>43442.406354166669</v>
      </c>
      <c r="B477" s="7" t="str">
        <f>HYPERLINK("https://twitter.com/Tri04Maria","@Tri04Maria")</f>
        <v>@Tri04Maria</v>
      </c>
      <c r="C477" s="8" t="s">
        <v>3147</v>
      </c>
      <c r="D477" s="9" t="s">
        <v>285</v>
      </c>
      <c r="E477" s="10" t="str">
        <f>HYPERLINK("https://twitter.com/Tri04Maria/status/1071324794715627521","1071324794715627521")</f>
        <v>1071324794715627521</v>
      </c>
      <c r="F477" s="12" t="s">
        <v>290</v>
      </c>
      <c r="G477" s="11"/>
      <c r="H477" s="11"/>
      <c r="I477" s="13">
        <v>0</v>
      </c>
      <c r="J477" s="13">
        <v>0</v>
      </c>
      <c r="K477" s="14" t="str">
        <f>HYPERLINK("http://twitter.com","Twitter Web Client")</f>
        <v>Twitter Web Client</v>
      </c>
      <c r="L477" s="13">
        <v>396</v>
      </c>
      <c r="M477" s="13">
        <v>604</v>
      </c>
      <c r="N477" s="13">
        <v>5</v>
      </c>
      <c r="O477" s="15"/>
      <c r="P477" s="6">
        <v>41666.595601851848</v>
      </c>
      <c r="Q477" s="18" t="s">
        <v>3152</v>
      </c>
      <c r="R477" s="19" t="s">
        <v>3153</v>
      </c>
      <c r="S477" s="11"/>
      <c r="T477" s="11"/>
      <c r="U477" s="10" t="str">
        <f>HYPERLINK("https://pbs.twimg.com/profile_images/537782889274822657/kj5jdlR1.jpeg","View")</f>
        <v>View</v>
      </c>
    </row>
    <row r="478" spans="1:21" ht="30.6">
      <c r="A478" s="6">
        <v>43442.406284722223</v>
      </c>
      <c r="B478" s="7" t="str">
        <f>HYPERLINK("https://twitter.com/matdy42","@matdy42")</f>
        <v>@matdy42</v>
      </c>
      <c r="C478" s="8" t="s">
        <v>3142</v>
      </c>
      <c r="D478" s="9" t="s">
        <v>3154</v>
      </c>
      <c r="E478" s="10" t="str">
        <f>HYPERLINK("https://twitter.com/matdy42/status/1071324766236233734","1071324766236233734")</f>
        <v>1071324766236233734</v>
      </c>
      <c r="F478" s="12" t="s">
        <v>3157</v>
      </c>
      <c r="G478" s="11"/>
      <c r="H478" s="11"/>
      <c r="I478" s="13">
        <v>0</v>
      </c>
      <c r="J478" s="13">
        <v>0</v>
      </c>
      <c r="K478" s="14" t="str">
        <f t="shared" ref="K478:K479" si="85">HYPERLINK("http://twitter.com/download/android","Twitter for Android")</f>
        <v>Twitter for Android</v>
      </c>
      <c r="L478" s="13">
        <v>79</v>
      </c>
      <c r="M478" s="13">
        <v>259</v>
      </c>
      <c r="N478" s="13">
        <v>2</v>
      </c>
      <c r="O478" s="15"/>
      <c r="P478" s="6">
        <v>40761.609699074077</v>
      </c>
      <c r="Q478" s="18" t="s">
        <v>42</v>
      </c>
      <c r="R478" s="17"/>
      <c r="S478" s="11"/>
      <c r="T478" s="11"/>
      <c r="U478" s="10" t="str">
        <f>HYPERLINK("https://pbs.twimg.com/profile_images/909133272797544448/P2gdgUuJ.jpg","View")</f>
        <v>View</v>
      </c>
    </row>
    <row r="479" spans="1:21" ht="30.6">
      <c r="A479" s="6">
        <v>43442.406122685185</v>
      </c>
      <c r="B479" s="7" t="str">
        <f>HYPERLINK("https://twitter.com/BebaDril7","@BebaDril7")</f>
        <v>@BebaDril7</v>
      </c>
      <c r="C479" s="8" t="s">
        <v>3162</v>
      </c>
      <c r="D479" s="9" t="s">
        <v>3163</v>
      </c>
      <c r="E479" s="10" t="str">
        <f>HYPERLINK("https://twitter.com/BebaDril7/status/1071324709424381952","1071324709424381952")</f>
        <v>1071324709424381952</v>
      </c>
      <c r="F479" s="12" t="s">
        <v>3164</v>
      </c>
      <c r="G479" s="11"/>
      <c r="H479" s="11"/>
      <c r="I479" s="13">
        <v>0</v>
      </c>
      <c r="J479" s="13">
        <v>0</v>
      </c>
      <c r="K479" s="14" t="str">
        <f t="shared" si="85"/>
        <v>Twitter for Android</v>
      </c>
      <c r="L479" s="13">
        <v>1289</v>
      </c>
      <c r="M479" s="13">
        <v>932</v>
      </c>
      <c r="N479" s="13">
        <v>15</v>
      </c>
      <c r="O479" s="15"/>
      <c r="P479" s="6">
        <v>40919.072384259256</v>
      </c>
      <c r="Q479" s="11"/>
      <c r="R479" s="19" t="s">
        <v>3165</v>
      </c>
      <c r="S479" s="11"/>
      <c r="T479" s="11"/>
      <c r="U479" s="10" t="str">
        <f>HYPERLINK("https://pbs.twimg.com/profile_images/1067761925868716032/wRYPsACo.jpg","View")</f>
        <v>View</v>
      </c>
    </row>
    <row r="480" spans="1:21" ht="40.799999999999997">
      <c r="A480" s="6">
        <v>43442.406111111108</v>
      </c>
      <c r="B480" s="7" t="str">
        <f>HYPERLINK("https://twitter.com/55luchando","@55luchando")</f>
        <v>@55luchando</v>
      </c>
      <c r="C480" s="8" t="s">
        <v>3167</v>
      </c>
      <c r="D480" s="9" t="s">
        <v>612</v>
      </c>
      <c r="E480" s="10" t="str">
        <f>HYPERLINK("https://twitter.com/55luchando/status/1071324705632776192","1071324705632776192")</f>
        <v>1071324705632776192</v>
      </c>
      <c r="F480" s="12" t="s">
        <v>49</v>
      </c>
      <c r="G480" s="11"/>
      <c r="H480" s="11"/>
      <c r="I480" s="13">
        <v>0</v>
      </c>
      <c r="J480" s="13">
        <v>0</v>
      </c>
      <c r="K480" s="14" t="str">
        <f>HYPERLINK("http://twitter.com/download/iphone","Twitter for iPhone")</f>
        <v>Twitter for iPhone</v>
      </c>
      <c r="L480" s="13">
        <v>135</v>
      </c>
      <c r="M480" s="13">
        <v>652</v>
      </c>
      <c r="N480" s="13">
        <v>2</v>
      </c>
      <c r="O480" s="15"/>
      <c r="P480" s="6">
        <v>41490.483923611115</v>
      </c>
      <c r="Q480" s="11"/>
      <c r="R480" s="19" t="s">
        <v>3168</v>
      </c>
      <c r="S480" s="11"/>
      <c r="T480" s="11"/>
      <c r="U480" s="10" t="str">
        <f>HYPERLINK("https://pbs.twimg.com/profile_images/678624755671572480/FOB4f5yX.jpg","View")</f>
        <v>View</v>
      </c>
    </row>
    <row r="481" spans="1:21" ht="13.2">
      <c r="A481" s="6">
        <v>43442.405706018515</v>
      </c>
      <c r="B481" s="7" t="str">
        <f>HYPERLINK("https://twitter.com/Irene90088119","@Irene90088119")</f>
        <v>@Irene90088119</v>
      </c>
      <c r="C481" s="8" t="s">
        <v>3171</v>
      </c>
      <c r="D481" s="9" t="s">
        <v>3172</v>
      </c>
      <c r="E481" s="10" t="str">
        <f>HYPERLINK("https://twitter.com/Irene90088119/status/1071324558681128960","1071324558681128960")</f>
        <v>1071324558681128960</v>
      </c>
      <c r="F481" s="12" t="s">
        <v>3173</v>
      </c>
      <c r="G481" s="11"/>
      <c r="H481" s="11"/>
      <c r="I481" s="13">
        <v>0</v>
      </c>
      <c r="J481" s="13">
        <v>0</v>
      </c>
      <c r="K481" s="14" t="str">
        <f>HYPERLINK("http://twitter.com/download/android","Twitter for Android")</f>
        <v>Twitter for Android</v>
      </c>
      <c r="L481" s="13">
        <v>55</v>
      </c>
      <c r="M481" s="13">
        <v>77</v>
      </c>
      <c r="N481" s="13">
        <v>0</v>
      </c>
      <c r="O481" s="15"/>
      <c r="P481" s="6">
        <v>43125.40929398148</v>
      </c>
      <c r="Q481" s="18" t="s">
        <v>2020</v>
      </c>
      <c r="R481" s="19" t="s">
        <v>3176</v>
      </c>
      <c r="S481" s="11"/>
      <c r="T481" s="11"/>
      <c r="U481" s="10" t="str">
        <f>HYPERLINK("https://pbs.twimg.com/profile_images/1028634430494138376/b-a3h46B.jpg","View")</f>
        <v>View</v>
      </c>
    </row>
    <row r="482" spans="1:21" ht="40.799999999999997">
      <c r="A482" s="6">
        <v>43442.405219907407</v>
      </c>
      <c r="B482" s="7" t="str">
        <f>HYPERLINK("https://twitter.com/modescasamayor","@modescasamayor")</f>
        <v>@modescasamayor</v>
      </c>
      <c r="C482" s="8" t="s">
        <v>3181</v>
      </c>
      <c r="D482" s="9" t="s">
        <v>3182</v>
      </c>
      <c r="E482" s="10" t="str">
        <f>HYPERLINK("https://twitter.com/modescasamayor/status/1071324381887062017","1071324381887062017")</f>
        <v>1071324381887062017</v>
      </c>
      <c r="F482" s="12" t="s">
        <v>49</v>
      </c>
      <c r="G482" s="11"/>
      <c r="H482" s="11"/>
      <c r="I482" s="13">
        <v>6</v>
      </c>
      <c r="J482" s="13">
        <v>5</v>
      </c>
      <c r="K482" s="14" t="str">
        <f t="shared" ref="K482:K484" si="86">HYPERLINK("http://twitter.com","Twitter Web Client")</f>
        <v>Twitter Web Client</v>
      </c>
      <c r="L482" s="13">
        <v>3076</v>
      </c>
      <c r="M482" s="13">
        <v>5000</v>
      </c>
      <c r="N482" s="13">
        <v>19</v>
      </c>
      <c r="O482" s="15"/>
      <c r="P482" s="6">
        <v>41753.556458333333</v>
      </c>
      <c r="Q482" s="11"/>
      <c r="R482" s="19" t="s">
        <v>3187</v>
      </c>
      <c r="S482" s="11"/>
      <c r="T482" s="11"/>
      <c r="U482" s="10" t="str">
        <f>HYPERLINK("https://pbs.twimg.com/profile_images/857614430523314176/jHHWwDWC.jpg","View")</f>
        <v>View</v>
      </c>
    </row>
    <row r="483" spans="1:21" ht="20.399999999999999">
      <c r="A483" s="6">
        <v>43442.404340277775</v>
      </c>
      <c r="B483" s="7" t="str">
        <f>HYPERLINK("https://twitter.com/mathusal9","@mathusal9")</f>
        <v>@mathusal9</v>
      </c>
      <c r="C483" s="8" t="s">
        <v>3190</v>
      </c>
      <c r="D483" s="9" t="s">
        <v>279</v>
      </c>
      <c r="E483" s="10" t="str">
        <f>HYPERLINK("https://twitter.com/mathusal9/status/1071324062629146624","1071324062629146624")</f>
        <v>1071324062629146624</v>
      </c>
      <c r="F483" s="12" t="s">
        <v>280</v>
      </c>
      <c r="G483" s="11"/>
      <c r="H483" s="11"/>
      <c r="I483" s="13">
        <v>0</v>
      </c>
      <c r="J483" s="13">
        <v>0</v>
      </c>
      <c r="K483" s="14" t="str">
        <f t="shared" si="86"/>
        <v>Twitter Web Client</v>
      </c>
      <c r="L483" s="13">
        <v>704</v>
      </c>
      <c r="M483" s="13">
        <v>1803</v>
      </c>
      <c r="N483" s="13">
        <v>3</v>
      </c>
      <c r="O483" s="15"/>
      <c r="P483" s="6">
        <v>43049.798819444448</v>
      </c>
      <c r="Q483" s="18" t="s">
        <v>1413</v>
      </c>
      <c r="R483" s="19" t="s">
        <v>3194</v>
      </c>
      <c r="S483" s="11"/>
      <c r="T483" s="11"/>
      <c r="U483" s="10" t="str">
        <f>HYPERLINK("https://pbs.twimg.com/profile_images/936494587761385472/4QRLIAtv.jpg","View")</f>
        <v>View</v>
      </c>
    </row>
    <row r="484" spans="1:21" ht="20.399999999999999">
      <c r="A484" s="6">
        <v>43442.404189814813</v>
      </c>
      <c r="B484" s="7" t="str">
        <f>HYPERLINK("https://twitter.com/PakoyGalan","@PakoyGalan")</f>
        <v>@PakoyGalan</v>
      </c>
      <c r="C484" s="8" t="s">
        <v>3200</v>
      </c>
      <c r="D484" s="9" t="s">
        <v>3202</v>
      </c>
      <c r="E484" s="10" t="str">
        <f>HYPERLINK("https://twitter.com/PakoyGalan/status/1071324006610059265","1071324006610059265")</f>
        <v>1071324006610059265</v>
      </c>
      <c r="F484" s="12" t="s">
        <v>49</v>
      </c>
      <c r="G484" s="11"/>
      <c r="H484" s="11"/>
      <c r="I484" s="13">
        <v>0</v>
      </c>
      <c r="J484" s="13">
        <v>0</v>
      </c>
      <c r="K484" s="14" t="str">
        <f t="shared" si="86"/>
        <v>Twitter Web Client</v>
      </c>
      <c r="L484" s="13">
        <v>25</v>
      </c>
      <c r="M484" s="13">
        <v>34</v>
      </c>
      <c r="N484" s="13">
        <v>0</v>
      </c>
      <c r="O484" s="15"/>
      <c r="P484" s="6">
        <v>42764.691435185188</v>
      </c>
      <c r="Q484" s="11"/>
      <c r="R484" s="17"/>
      <c r="S484" s="11"/>
      <c r="T484" s="11"/>
      <c r="U484" s="10" t="str">
        <f>HYPERLINK("https://pbs.twimg.com/profile_images/825739255175589888/BfRyjMsY.jpg","View")</f>
        <v>View</v>
      </c>
    </row>
    <row r="485" spans="1:21" ht="40.799999999999997">
      <c r="A485" s="6">
        <v>43442.403807870374</v>
      </c>
      <c r="B485" s="7" t="str">
        <f>HYPERLINK("https://twitter.com/BOOMERANGG1","@BOOMERANGG1")</f>
        <v>@BOOMERANGG1</v>
      </c>
      <c r="C485" s="8" t="s">
        <v>3206</v>
      </c>
      <c r="D485" s="9" t="s">
        <v>3207</v>
      </c>
      <c r="E485" s="10" t="str">
        <f>HYPERLINK("https://twitter.com/BOOMERANGG1/status/1071323870911700993","1071323870911700993")</f>
        <v>1071323870911700993</v>
      </c>
      <c r="F485" s="11"/>
      <c r="G485" s="11"/>
      <c r="H485" s="11"/>
      <c r="I485" s="13">
        <v>0</v>
      </c>
      <c r="J485" s="13">
        <v>0</v>
      </c>
      <c r="K485" s="14" t="str">
        <f t="shared" ref="K485:K486" si="87">HYPERLINK("http://twitter.com/download/android","Twitter for Android")</f>
        <v>Twitter for Android</v>
      </c>
      <c r="L485" s="13">
        <v>1724</v>
      </c>
      <c r="M485" s="13">
        <v>3578</v>
      </c>
      <c r="N485" s="13">
        <v>4</v>
      </c>
      <c r="O485" s="15"/>
      <c r="P485" s="6">
        <v>40966.004363425927</v>
      </c>
      <c r="Q485" s="18" t="s">
        <v>42</v>
      </c>
      <c r="R485" s="19" t="s">
        <v>3209</v>
      </c>
      <c r="S485" s="11"/>
      <c r="T485" s="11"/>
      <c r="U485" s="10" t="str">
        <f>HYPERLINK("https://pbs.twimg.com/profile_images/1856358263/BOOMERANGG1.JPG","View")</f>
        <v>View</v>
      </c>
    </row>
    <row r="486" spans="1:21" ht="20.399999999999999">
      <c r="A486" s="6">
        <v>43442.40215277778</v>
      </c>
      <c r="B486" s="7" t="str">
        <f>HYPERLINK("https://twitter.com/matdy42","@matdy42")</f>
        <v>@matdy42</v>
      </c>
      <c r="C486" s="8" t="s">
        <v>3142</v>
      </c>
      <c r="D486" s="9" t="s">
        <v>3212</v>
      </c>
      <c r="E486" s="10" t="str">
        <f>HYPERLINK("https://twitter.com/matdy42/status/1071323269037473792","1071323269037473792")</f>
        <v>1071323269037473792</v>
      </c>
      <c r="F486" s="12" t="s">
        <v>49</v>
      </c>
      <c r="G486" s="11"/>
      <c r="H486" s="11"/>
      <c r="I486" s="13">
        <v>0</v>
      </c>
      <c r="J486" s="13">
        <v>0</v>
      </c>
      <c r="K486" s="14" t="str">
        <f t="shared" si="87"/>
        <v>Twitter for Android</v>
      </c>
      <c r="L486" s="13">
        <v>79</v>
      </c>
      <c r="M486" s="13">
        <v>259</v>
      </c>
      <c r="N486" s="13">
        <v>2</v>
      </c>
      <c r="O486" s="15"/>
      <c r="P486" s="6">
        <v>40761.609699074077</v>
      </c>
      <c r="Q486" s="18" t="s">
        <v>42</v>
      </c>
      <c r="R486" s="17"/>
      <c r="S486" s="11"/>
      <c r="T486" s="11"/>
      <c r="U486" s="10" t="str">
        <f>HYPERLINK("https://pbs.twimg.com/profile_images/909133272797544448/P2gdgUuJ.jpg","View")</f>
        <v>View</v>
      </c>
    </row>
    <row r="487" spans="1:21" ht="30.6">
      <c r="A487" s="6">
        <v>43442.402071759258</v>
      </c>
      <c r="B487" s="7" t="str">
        <f>HYPERLINK("https://twitter.com/perropulicia","@perropulicia")</f>
        <v>@perropulicia</v>
      </c>
      <c r="C487" s="8" t="s">
        <v>3217</v>
      </c>
      <c r="D487" s="9" t="s">
        <v>3218</v>
      </c>
      <c r="E487" s="10" t="str">
        <f>HYPERLINK("https://twitter.com/perropulicia/status/1071323242898567168","1071323242898567168")</f>
        <v>1071323242898567168</v>
      </c>
      <c r="F487" s="11"/>
      <c r="G487" s="11"/>
      <c r="H487" s="11"/>
      <c r="I487" s="13">
        <v>0</v>
      </c>
      <c r="J487" s="13">
        <v>0</v>
      </c>
      <c r="K487" s="14" t="str">
        <f>HYPERLINK("http://www.facebook.com/twitter","Facebook")</f>
        <v>Facebook</v>
      </c>
      <c r="L487" s="13">
        <v>1890</v>
      </c>
      <c r="M487" s="13">
        <v>297</v>
      </c>
      <c r="N487" s="13">
        <v>5</v>
      </c>
      <c r="O487" s="15"/>
      <c r="P487" s="6">
        <v>41419.828738425924</v>
      </c>
      <c r="Q487" s="18" t="s">
        <v>3219</v>
      </c>
      <c r="R487" s="19" t="s">
        <v>3220</v>
      </c>
      <c r="S487" s="11"/>
      <c r="T487" s="11"/>
      <c r="U487" s="10" t="str">
        <f>HYPERLINK("https://pbs.twimg.com/profile_images/422289600393256960/kTzbWQ4J.jpeg","View")</f>
        <v>View</v>
      </c>
    </row>
    <row r="488" spans="1:21" ht="30.6">
      <c r="A488" s="6">
        <v>43442.399456018524</v>
      </c>
      <c r="B488" s="7" t="str">
        <f>HYPERLINK("https://twitter.com/VSevilla5169","@VSevilla5169")</f>
        <v>@VSevilla5169</v>
      </c>
      <c r="C488" s="8" t="s">
        <v>3223</v>
      </c>
      <c r="D488" s="9" t="s">
        <v>3224</v>
      </c>
      <c r="E488" s="10" t="str">
        <f>HYPERLINK("https://twitter.com/VSevilla5169/status/1071322292746141696","1071322292746141696")</f>
        <v>1071322292746141696</v>
      </c>
      <c r="F488" s="12" t="s">
        <v>3227</v>
      </c>
      <c r="G488" s="12" t="s">
        <v>3228</v>
      </c>
      <c r="H488" s="11"/>
      <c r="I488" s="13">
        <v>2</v>
      </c>
      <c r="J488" s="13">
        <v>1</v>
      </c>
      <c r="K488" s="14" t="str">
        <f>HYPERLINK("http://twitter.com","Twitter Web Client")</f>
        <v>Twitter Web Client</v>
      </c>
      <c r="L488" s="13">
        <v>191</v>
      </c>
      <c r="M488" s="13">
        <v>379</v>
      </c>
      <c r="N488" s="13">
        <v>0</v>
      </c>
      <c r="O488" s="15"/>
      <c r="P488" s="6">
        <v>43031.760972222226</v>
      </c>
      <c r="Q488" s="18" t="s">
        <v>260</v>
      </c>
      <c r="R488" s="17"/>
      <c r="S488" s="11"/>
      <c r="T488" s="11"/>
      <c r="U488" s="10" t="str">
        <f>HYPERLINK("https://pbs.twimg.com/profile_images/1057553151090417664/nIB3VwI9.jpg","View")</f>
        <v>View</v>
      </c>
    </row>
    <row r="489" spans="1:21" ht="71.400000000000006">
      <c r="A489" s="6">
        <v>43442.399062500001</v>
      </c>
      <c r="B489" s="7" t="str">
        <f>HYPERLINK("https://twitter.com/NosManipulan","@NosManipulan")</f>
        <v>@NosManipulan</v>
      </c>
      <c r="C489" s="8" t="s">
        <v>3232</v>
      </c>
      <c r="D489" s="9" t="s">
        <v>3233</v>
      </c>
      <c r="E489" s="10" t="str">
        <f>HYPERLINK("https://twitter.com/NosManipulan/status/1071322148952858624","1071322148952858624")</f>
        <v>1071322148952858624</v>
      </c>
      <c r="F489" s="12" t="s">
        <v>1465</v>
      </c>
      <c r="G489" s="11"/>
      <c r="H489" s="11"/>
      <c r="I489" s="13">
        <v>0</v>
      </c>
      <c r="J489" s="13">
        <v>2</v>
      </c>
      <c r="K489" s="14" t="str">
        <f>HYPERLINK("http://twitter.com/download/iphone","Twitter for iPhone")</f>
        <v>Twitter for iPhone</v>
      </c>
      <c r="L489" s="13">
        <v>4393</v>
      </c>
      <c r="M489" s="13">
        <v>105</v>
      </c>
      <c r="N489" s="13">
        <v>16</v>
      </c>
      <c r="O489" s="15"/>
      <c r="P489" s="6">
        <v>42745.620590277773</v>
      </c>
      <c r="Q489" s="18" t="s">
        <v>3236</v>
      </c>
      <c r="R489" s="19" t="s">
        <v>3238</v>
      </c>
      <c r="S489" s="11"/>
      <c r="T489" s="11"/>
      <c r="U489" s="10" t="str">
        <f>HYPERLINK("https://pbs.twimg.com/profile_images/1060533454692061184/R6vwgClF.jpg","View")</f>
        <v>View</v>
      </c>
    </row>
    <row r="490" spans="1:21" ht="20.399999999999999">
      <c r="A490" s="6">
        <v>43442.398969907408</v>
      </c>
      <c r="B490" s="7" t="str">
        <f>HYPERLINK("https://twitter.com/CwhRoss","@CwhRoss")</f>
        <v>@CwhRoss</v>
      </c>
      <c r="C490" s="8" t="s">
        <v>3241</v>
      </c>
      <c r="D490" s="9" t="s">
        <v>347</v>
      </c>
      <c r="E490" s="10" t="str">
        <f>HYPERLINK("https://twitter.com/CwhRoss/status/1071322117642301440","1071322117642301440")</f>
        <v>1071322117642301440</v>
      </c>
      <c r="F490" s="12" t="s">
        <v>166</v>
      </c>
      <c r="G490" s="11"/>
      <c r="H490" s="11"/>
      <c r="I490" s="13">
        <v>0</v>
      </c>
      <c r="J490" s="13">
        <v>0</v>
      </c>
      <c r="K490" s="14" t="str">
        <f>HYPERLINK("http://www.facebook.com/twitter","Facebook")</f>
        <v>Facebook</v>
      </c>
      <c r="L490" s="13">
        <v>170</v>
      </c>
      <c r="M490" s="13">
        <v>2</v>
      </c>
      <c r="N490" s="13">
        <v>45</v>
      </c>
      <c r="O490" s="15"/>
      <c r="P490" s="6">
        <v>41008.781701388885</v>
      </c>
      <c r="Q490" s="18" t="s">
        <v>3245</v>
      </c>
      <c r="R490" s="28" t="s">
        <v>3246</v>
      </c>
      <c r="S490" s="12" t="s">
        <v>3250</v>
      </c>
      <c r="T490" s="11"/>
      <c r="U490" s="10" t="str">
        <f>HYPERLINK("https://pbs.twimg.com/profile_images/2076887937/Copy_of_cerdo_con_maciza.jpg","View")</f>
        <v>View</v>
      </c>
    </row>
    <row r="491" spans="1:21" ht="61.2">
      <c r="A491" s="6">
        <v>43442.397696759261</v>
      </c>
      <c r="B491" s="7" t="str">
        <f>HYPERLINK("https://twitter.com/PtfLaSilenciosa","@PtfLaSilenciosa")</f>
        <v>@PtfLaSilenciosa</v>
      </c>
      <c r="C491" s="8" t="s">
        <v>952</v>
      </c>
      <c r="D491" s="9" t="s">
        <v>954</v>
      </c>
      <c r="E491" s="10" t="str">
        <f>HYPERLINK("https://twitter.com/PtfLaSilenciosa/status/1071321654385610752","1071321654385610752")</f>
        <v>1071321654385610752</v>
      </c>
      <c r="F491" s="11"/>
      <c r="G491" s="12" t="s">
        <v>955</v>
      </c>
      <c r="H491" s="11"/>
      <c r="I491" s="13">
        <v>44</v>
      </c>
      <c r="J491" s="13">
        <v>44</v>
      </c>
      <c r="K491" s="14" t="str">
        <f t="shared" ref="K491:K492" si="88">HYPERLINK("http://twitter.com/download/android","Twitter for Android")</f>
        <v>Twitter for Android</v>
      </c>
      <c r="L491" s="13">
        <v>965</v>
      </c>
      <c r="M491" s="13">
        <v>310</v>
      </c>
      <c r="N491" s="13">
        <v>1</v>
      </c>
      <c r="O491" s="15"/>
      <c r="P491" s="6">
        <v>43357.39806712963</v>
      </c>
      <c r="Q491" s="18" t="s">
        <v>42</v>
      </c>
      <c r="R491" s="19" t="s">
        <v>957</v>
      </c>
      <c r="S491" s="12" t="s">
        <v>958</v>
      </c>
      <c r="T491" s="11"/>
      <c r="U491" s="10" t="str">
        <f>HYPERLINK("https://pbs.twimg.com/profile_images/1066720822528749568/aqkNSI5G.jpg","View")</f>
        <v>View</v>
      </c>
    </row>
    <row r="492" spans="1:21" ht="71.400000000000006">
      <c r="A492" s="6">
        <v>43442.397094907406</v>
      </c>
      <c r="B492" s="7" t="str">
        <f>HYPERLINK("https://twitter.com/margaglobal","@margaglobal")</f>
        <v>@margaglobal</v>
      </c>
      <c r="C492" s="8" t="s">
        <v>959</v>
      </c>
      <c r="D492" s="9" t="s">
        <v>960</v>
      </c>
      <c r="E492" s="10" t="str">
        <f>HYPERLINK("https://twitter.com/margaglobal/status/1071321435572973568","1071321435572973568")</f>
        <v>1071321435572973568</v>
      </c>
      <c r="F492" s="18" t="s">
        <v>961</v>
      </c>
      <c r="G492" s="11"/>
      <c r="H492" s="11"/>
      <c r="I492" s="13">
        <v>0</v>
      </c>
      <c r="J492" s="13">
        <v>1</v>
      </c>
      <c r="K492" s="14" t="str">
        <f t="shared" si="88"/>
        <v>Twitter for Android</v>
      </c>
      <c r="L492" s="13">
        <v>5</v>
      </c>
      <c r="M492" s="13">
        <v>48</v>
      </c>
      <c r="N492" s="13">
        <v>0</v>
      </c>
      <c r="O492" s="15"/>
      <c r="P492" s="6">
        <v>42352.917407407411</v>
      </c>
      <c r="Q492" s="18" t="s">
        <v>964</v>
      </c>
      <c r="R492" s="19" t="s">
        <v>965</v>
      </c>
      <c r="S492" s="11"/>
      <c r="T492" s="11"/>
      <c r="U492" s="10" t="str">
        <f>HYPERLINK("https://pbs.twimg.com/profile_images/676826243011096576/5wcyGz87.jpg","View")</f>
        <v>View</v>
      </c>
    </row>
    <row r="493" spans="1:21" ht="40.799999999999997">
      <c r="A493" s="6">
        <v>43442.397025462968</v>
      </c>
      <c r="B493" s="7" t="str">
        <f>HYPERLINK("https://twitter.com/PPriorio","@PPriorio")</f>
        <v>@PPriorio</v>
      </c>
      <c r="C493" s="8" t="s">
        <v>3259</v>
      </c>
      <c r="D493" s="9" t="s">
        <v>3260</v>
      </c>
      <c r="E493" s="10" t="str">
        <f>HYPERLINK("https://twitter.com/PPriorio/status/1071321413229993984","1071321413229993984")</f>
        <v>1071321413229993984</v>
      </c>
      <c r="F493" s="12" t="s">
        <v>49</v>
      </c>
      <c r="G493" s="11"/>
      <c r="H493" s="11"/>
      <c r="I493" s="13">
        <v>0</v>
      </c>
      <c r="J493" s="13">
        <v>0</v>
      </c>
      <c r="K493" s="14" t="str">
        <f>HYPERLINK("http://www.facebook.com/twitter","Facebook")</f>
        <v>Facebook</v>
      </c>
      <c r="L493" s="13">
        <v>345</v>
      </c>
      <c r="M493" s="13">
        <v>684</v>
      </c>
      <c r="N493" s="13">
        <v>2</v>
      </c>
      <c r="O493" s="15"/>
      <c r="P493" s="6">
        <v>40935.454421296294</v>
      </c>
      <c r="Q493" s="18" t="s">
        <v>1379</v>
      </c>
      <c r="R493" s="19" t="s">
        <v>3261</v>
      </c>
      <c r="S493" s="12" t="s">
        <v>3262</v>
      </c>
      <c r="T493" s="11"/>
      <c r="U493" s="10" t="str">
        <f>HYPERLINK("https://pbs.twimg.com/profile_images/699864333103321088/1W3QsFhP.jpg","View")</f>
        <v>View</v>
      </c>
    </row>
    <row r="494" spans="1:21" ht="30.6">
      <c r="A494" s="6">
        <v>43442.395914351851</v>
      </c>
      <c r="B494" s="7" t="str">
        <f>HYPERLINK("https://twitter.com/jesusmgranada2","@jesusmgranada2")</f>
        <v>@jesusmgranada2</v>
      </c>
      <c r="C494" s="8" t="s">
        <v>967</v>
      </c>
      <c r="D494" s="9" t="s">
        <v>968</v>
      </c>
      <c r="E494" s="10" t="str">
        <f>HYPERLINK("https://twitter.com/jesusmgranada2/status/1071321010929061888","1071321010929061888")</f>
        <v>1071321010929061888</v>
      </c>
      <c r="F494" s="11"/>
      <c r="G494" s="12" t="s">
        <v>970</v>
      </c>
      <c r="H494" s="11"/>
      <c r="I494" s="13">
        <v>7</v>
      </c>
      <c r="J494" s="13">
        <v>7</v>
      </c>
      <c r="K494" s="14" t="str">
        <f t="shared" ref="K494:K495" si="89">HYPERLINK("http://twitter.com/download/android","Twitter for Android")</f>
        <v>Twitter for Android</v>
      </c>
      <c r="L494" s="13">
        <v>3188</v>
      </c>
      <c r="M494" s="13">
        <v>2894</v>
      </c>
      <c r="N494" s="13">
        <v>12</v>
      </c>
      <c r="O494" s="15"/>
      <c r="P494" s="6">
        <v>43070.367442129631</v>
      </c>
      <c r="Q494" s="18" t="s">
        <v>971</v>
      </c>
      <c r="R494" s="19" t="s">
        <v>972</v>
      </c>
      <c r="S494" s="11"/>
      <c r="T494" s="11"/>
      <c r="U494" s="10" t="str">
        <f>HYPERLINK("https://pbs.twimg.com/profile_images/1069848765291552768/8astLha5.jpg","View")</f>
        <v>View</v>
      </c>
    </row>
    <row r="495" spans="1:21" ht="51">
      <c r="A495" s="6">
        <v>43442.395034722227</v>
      </c>
      <c r="B495" s="7" t="str">
        <f>HYPERLINK("https://twitter.com/_kasta","@_kasta")</f>
        <v>@_kasta</v>
      </c>
      <c r="C495" s="8" t="s">
        <v>3267</v>
      </c>
      <c r="D495" s="9" t="s">
        <v>3268</v>
      </c>
      <c r="E495" s="10" t="str">
        <f>HYPERLINK("https://twitter.com/_kasta/status/1071320688831721473","1071320688831721473")</f>
        <v>1071320688831721473</v>
      </c>
      <c r="F495" s="11"/>
      <c r="G495" s="11"/>
      <c r="H495" s="11"/>
      <c r="I495" s="13">
        <v>0</v>
      </c>
      <c r="J495" s="13">
        <v>0</v>
      </c>
      <c r="K495" s="14" t="str">
        <f t="shared" si="89"/>
        <v>Twitter for Android</v>
      </c>
      <c r="L495" s="13">
        <v>266</v>
      </c>
      <c r="M495" s="13">
        <v>759</v>
      </c>
      <c r="N495" s="13">
        <v>2</v>
      </c>
      <c r="O495" s="15"/>
      <c r="P495" s="6">
        <v>40876.737928240742</v>
      </c>
      <c r="Q495" s="18" t="s">
        <v>3271</v>
      </c>
      <c r="R495" s="19" t="s">
        <v>3272</v>
      </c>
      <c r="S495" s="11"/>
      <c r="T495" s="11"/>
      <c r="U495" s="10" t="str">
        <f>HYPERLINK("https://pbs.twimg.com/profile_images/1025433076892139520/B14MaTVX.jpg","View")</f>
        <v>View</v>
      </c>
    </row>
    <row r="496" spans="1:21" ht="51">
      <c r="A496" s="6">
        <v>43442.394699074073</v>
      </c>
      <c r="B496" s="7" t="str">
        <f>HYPERLINK("https://twitter.com/Sebiyanojaja","@Sebiyanojaja")</f>
        <v>@Sebiyanojaja</v>
      </c>
      <c r="C496" s="8" t="s">
        <v>3275</v>
      </c>
      <c r="D496" s="9" t="s">
        <v>3276</v>
      </c>
      <c r="E496" s="10" t="str">
        <f>HYPERLINK("https://twitter.com/Sebiyanojaja/status/1071320568333516800","1071320568333516800")</f>
        <v>1071320568333516800</v>
      </c>
      <c r="F496" s="11"/>
      <c r="G496" s="11"/>
      <c r="H496" s="11"/>
      <c r="I496" s="13">
        <v>0</v>
      </c>
      <c r="J496" s="13">
        <v>1</v>
      </c>
      <c r="K496" s="14" t="str">
        <f t="shared" ref="K496:K497" si="90">HYPERLINK("http://twitter.com/download/iphone","Twitter for iPhone")</f>
        <v>Twitter for iPhone</v>
      </c>
      <c r="L496" s="13">
        <v>9</v>
      </c>
      <c r="M496" s="13">
        <v>29</v>
      </c>
      <c r="N496" s="13">
        <v>0</v>
      </c>
      <c r="O496" s="15"/>
      <c r="P496" s="6">
        <v>42388.608206018514</v>
      </c>
      <c r="Q496" s="18" t="s">
        <v>3278</v>
      </c>
      <c r="R496" s="19" t="s">
        <v>3280</v>
      </c>
      <c r="S496" s="11"/>
      <c r="T496" s="11"/>
      <c r="U496" s="16" t="s">
        <v>191</v>
      </c>
    </row>
    <row r="497" spans="1:21" ht="51">
      <c r="A497" s="6">
        <v>43442.394513888888</v>
      </c>
      <c r="B497" s="7" t="str">
        <f>HYPERLINK("https://twitter.com/Yolanda18691613","@Yolanda18691613")</f>
        <v>@Yolanda18691613</v>
      </c>
      <c r="C497" s="8" t="s">
        <v>974</v>
      </c>
      <c r="D497" s="9" t="s">
        <v>975</v>
      </c>
      <c r="E497" s="10" t="str">
        <f>HYPERLINK("https://twitter.com/Yolanda18691613/status/1071320501027508226","1071320501027508226")</f>
        <v>1071320501027508226</v>
      </c>
      <c r="F497" s="18" t="s">
        <v>976</v>
      </c>
      <c r="G497" s="11"/>
      <c r="H497" s="11"/>
      <c r="I497" s="13">
        <v>0</v>
      </c>
      <c r="J497" s="13">
        <v>0</v>
      </c>
      <c r="K497" s="14" t="str">
        <f t="shared" si="90"/>
        <v>Twitter for iPhone</v>
      </c>
      <c r="L497" s="13">
        <v>163</v>
      </c>
      <c r="M497" s="13">
        <v>623</v>
      </c>
      <c r="N497" s="13">
        <v>2</v>
      </c>
      <c r="O497" s="15"/>
      <c r="P497" s="6">
        <v>42168.488298611112</v>
      </c>
      <c r="Q497" s="11"/>
      <c r="R497" s="17"/>
      <c r="S497" s="11"/>
      <c r="T497" s="11"/>
      <c r="U497" s="10" t="str">
        <f>HYPERLINK("https://pbs.twimg.com/profile_images/1067165433873252363/vAhc-aPk.jpg","View")</f>
        <v>View</v>
      </c>
    </row>
    <row r="498" spans="1:21" ht="61.2">
      <c r="A498" s="6">
        <v>43442.394432870366</v>
      </c>
      <c r="B498" s="7" t="str">
        <f>HYPERLINK("https://twitter.com/Juangalonso","@Juangalonso")</f>
        <v>@Juangalonso</v>
      </c>
      <c r="C498" s="8" t="s">
        <v>3287</v>
      </c>
      <c r="D498" s="9" t="s">
        <v>3288</v>
      </c>
      <c r="E498" s="10" t="str">
        <f>HYPERLINK("https://twitter.com/Juangalonso/status/1071320472472686592","1071320472472686592")</f>
        <v>1071320472472686592</v>
      </c>
      <c r="F498" s="12" t="s">
        <v>3291</v>
      </c>
      <c r="G498" s="12" t="s">
        <v>3292</v>
      </c>
      <c r="H498" s="11"/>
      <c r="I498" s="13">
        <v>0</v>
      </c>
      <c r="J498" s="13">
        <v>0</v>
      </c>
      <c r="K498" s="14" t="str">
        <f>HYPERLINK("http://twitter.com/download/android","Twitter for Android")</f>
        <v>Twitter for Android</v>
      </c>
      <c r="L498" s="13">
        <v>106</v>
      </c>
      <c r="M498" s="13">
        <v>620</v>
      </c>
      <c r="N498" s="13">
        <v>0</v>
      </c>
      <c r="O498" s="15"/>
      <c r="P498" s="6">
        <v>40478.523657407408</v>
      </c>
      <c r="Q498" s="11"/>
      <c r="R498" s="19" t="s">
        <v>3293</v>
      </c>
      <c r="S498" s="11"/>
      <c r="T498" s="11"/>
      <c r="U498" s="10" t="str">
        <f>HYPERLINK("https://pbs.twimg.com/profile_images/890716812379385856/eFviRXvf.jpg","View")</f>
        <v>View</v>
      </c>
    </row>
    <row r="499" spans="1:21" ht="40.799999999999997">
      <c r="A499" s="6">
        <v>43442.393611111111</v>
      </c>
      <c r="B499" s="7" t="str">
        <f>HYPERLINK("https://twitter.com/FernandoSUsera","@FernandoSUsera")</f>
        <v>@FernandoSUsera</v>
      </c>
      <c r="C499" s="8" t="s">
        <v>676</v>
      </c>
      <c r="D499" s="9" t="s">
        <v>980</v>
      </c>
      <c r="E499" s="10" t="str">
        <f>HYPERLINK("https://twitter.com/FernandoSUsera/status/1071320176631664640","1071320176631664640")</f>
        <v>1071320176631664640</v>
      </c>
      <c r="F499" s="12" t="s">
        <v>981</v>
      </c>
      <c r="G499" s="12" t="s">
        <v>984</v>
      </c>
      <c r="H499" s="11"/>
      <c r="I499" s="13">
        <v>0</v>
      </c>
      <c r="J499" s="13">
        <v>0</v>
      </c>
      <c r="K499" s="14" t="str">
        <f>HYPERLINK("http://twitter.com/download/iphone","Twitter for iPhone")</f>
        <v>Twitter for iPhone</v>
      </c>
      <c r="L499" s="13">
        <v>72</v>
      </c>
      <c r="M499" s="13">
        <v>222</v>
      </c>
      <c r="N499" s="13">
        <v>2</v>
      </c>
      <c r="O499" s="15"/>
      <c r="P499" s="6">
        <v>40827.905428240745</v>
      </c>
      <c r="Q499" s="18" t="s">
        <v>680</v>
      </c>
      <c r="R499" s="19" t="s">
        <v>681</v>
      </c>
      <c r="S499" s="11"/>
      <c r="T499" s="11"/>
      <c r="U499" s="10" t="str">
        <f>HYPERLINK("https://pbs.twimg.com/profile_images/914052022374158336/Pg0xLcvi.jpg","View")</f>
        <v>View</v>
      </c>
    </row>
    <row r="500" spans="1:21" ht="40.799999999999997">
      <c r="A500" s="6">
        <v>43442.393587962964</v>
      </c>
      <c r="B500" s="7" t="str">
        <f>HYPERLINK("https://twitter.com/Ke_Les_Den","@Ke_Les_Den")</f>
        <v>@Ke_Les_Den</v>
      </c>
      <c r="C500" s="8" t="s">
        <v>925</v>
      </c>
      <c r="D500" s="9" t="s">
        <v>986</v>
      </c>
      <c r="E500" s="10" t="str">
        <f>HYPERLINK("https://twitter.com/Ke_Les_Den/status/1071320167840407552","1071320167840407552")</f>
        <v>1071320167840407552</v>
      </c>
      <c r="F500" s="12" t="s">
        <v>987</v>
      </c>
      <c r="G500" s="11"/>
      <c r="H500" s="11"/>
      <c r="I500" s="13">
        <v>6</v>
      </c>
      <c r="J500" s="13">
        <v>7</v>
      </c>
      <c r="K500" s="14" t="str">
        <f t="shared" ref="K500:K501" si="91">HYPERLINK("http://twitter.com","Twitter Web Client")</f>
        <v>Twitter Web Client</v>
      </c>
      <c r="L500" s="13">
        <v>861</v>
      </c>
      <c r="M500" s="13">
        <v>1970</v>
      </c>
      <c r="N500" s="13">
        <v>1</v>
      </c>
      <c r="O500" s="15"/>
      <c r="P500" s="6">
        <v>42849.633483796293</v>
      </c>
      <c r="Q500" s="11"/>
      <c r="R500" s="19" t="s">
        <v>932</v>
      </c>
      <c r="S500" s="11"/>
      <c r="T500" s="11"/>
      <c r="U500" s="10" t="str">
        <f>HYPERLINK("https://pbs.twimg.com/profile_images/856777751755358208/AquT2MXe.jpg","View")</f>
        <v>View</v>
      </c>
    </row>
    <row r="501" spans="1:21" ht="40.799999999999997">
      <c r="A501" s="6">
        <v>43442.393067129626</v>
      </c>
      <c r="B501" s="7" t="str">
        <f>HYPERLINK("https://twitter.com/CesarYuste","@CesarYuste")</f>
        <v>@CesarYuste</v>
      </c>
      <c r="C501" s="8" t="s">
        <v>3301</v>
      </c>
      <c r="D501" s="9" t="s">
        <v>3302</v>
      </c>
      <c r="E501" s="10" t="str">
        <f>HYPERLINK("https://twitter.com/CesarYuste/status/1071319977645539328","1071319977645539328")</f>
        <v>1071319977645539328</v>
      </c>
      <c r="F501" s="12" t="s">
        <v>49</v>
      </c>
      <c r="G501" s="11"/>
      <c r="H501" s="11"/>
      <c r="I501" s="13">
        <v>0</v>
      </c>
      <c r="J501" s="13">
        <v>0</v>
      </c>
      <c r="K501" s="14" t="str">
        <f t="shared" si="91"/>
        <v>Twitter Web Client</v>
      </c>
      <c r="L501" s="13">
        <v>421</v>
      </c>
      <c r="M501" s="13">
        <v>433</v>
      </c>
      <c r="N501" s="13">
        <v>4</v>
      </c>
      <c r="O501" s="15"/>
      <c r="P501" s="6">
        <v>40669.718865740739</v>
      </c>
      <c r="Q501" s="18" t="s">
        <v>424</v>
      </c>
      <c r="R501" s="19" t="s">
        <v>3305</v>
      </c>
      <c r="S501" s="12" t="s">
        <v>3306</v>
      </c>
      <c r="T501" s="11"/>
      <c r="U501" s="10" t="str">
        <f>HYPERLINK("https://pbs.twimg.com/profile_images/529204505439531009/yHR5Bq13.jpeg","View")</f>
        <v>View</v>
      </c>
    </row>
    <row r="502" spans="1:21" ht="40.799999999999997">
      <c r="A502" s="6">
        <v>43442.39230324074</v>
      </c>
      <c r="B502" s="7" t="str">
        <f>HYPERLINK("https://twitter.com/2Falero","@2Falero")</f>
        <v>@2Falero</v>
      </c>
      <c r="C502" s="8" t="s">
        <v>992</v>
      </c>
      <c r="D502" s="9" t="s">
        <v>993</v>
      </c>
      <c r="E502" s="10" t="str">
        <f>HYPERLINK("https://twitter.com/2Falero/status/1071319701605756928","1071319701605756928")</f>
        <v>1071319701605756928</v>
      </c>
      <c r="F502" s="11"/>
      <c r="G502" s="11"/>
      <c r="H502" s="11"/>
      <c r="I502" s="13">
        <v>0</v>
      </c>
      <c r="J502" s="13">
        <v>0</v>
      </c>
      <c r="K502" s="14" t="str">
        <f>HYPERLINK("http://twitter.com/download/iphone","Twitter for iPhone")</f>
        <v>Twitter for iPhone</v>
      </c>
      <c r="L502" s="13">
        <v>3813</v>
      </c>
      <c r="M502" s="13">
        <v>4271</v>
      </c>
      <c r="N502" s="13">
        <v>5</v>
      </c>
      <c r="O502" s="15"/>
      <c r="P502" s="6">
        <v>42694.781851851847</v>
      </c>
      <c r="Q502" s="11"/>
      <c r="R502" s="19" t="s">
        <v>998</v>
      </c>
      <c r="S502" s="11"/>
      <c r="T502" s="11"/>
      <c r="U502" s="10" t="str">
        <f>HYPERLINK("https://pbs.twimg.com/profile_images/800395347516387328/jANwk_H0.jpg","View")</f>
        <v>View</v>
      </c>
    </row>
    <row r="503" spans="1:21" ht="71.400000000000006">
      <c r="A503" s="6">
        <v>43442.39225694444</v>
      </c>
      <c r="B503" s="7" t="str">
        <f>HYPERLINK("https://twitter.com/adrigvillanueva","@adrigvillanueva")</f>
        <v>@adrigvillanueva</v>
      </c>
      <c r="C503" s="8" t="s">
        <v>999</v>
      </c>
      <c r="D503" s="9" t="s">
        <v>1000</v>
      </c>
      <c r="E503" s="10" t="str">
        <f>HYPERLINK("https://twitter.com/adrigvillanueva/status/1071319683134091264","1071319683134091264")</f>
        <v>1071319683134091264</v>
      </c>
      <c r="F503" s="18" t="s">
        <v>63</v>
      </c>
      <c r="G503" s="11"/>
      <c r="H503" s="11"/>
      <c r="I503" s="13">
        <v>0</v>
      </c>
      <c r="J503" s="13">
        <v>0</v>
      </c>
      <c r="K503" s="14" t="str">
        <f t="shared" ref="K503:K504" si="92">HYPERLINK("http://twitter.com/download/android","Twitter for Android")</f>
        <v>Twitter for Android</v>
      </c>
      <c r="L503" s="13">
        <v>61</v>
      </c>
      <c r="M503" s="13">
        <v>82</v>
      </c>
      <c r="N503" s="13">
        <v>0</v>
      </c>
      <c r="O503" s="15"/>
      <c r="P503" s="6">
        <v>43069.572962962964</v>
      </c>
      <c r="Q503" s="11"/>
      <c r="R503" s="19" t="s">
        <v>1003</v>
      </c>
      <c r="S503" s="11"/>
      <c r="T503" s="11"/>
      <c r="U503" s="10" t="str">
        <f>HYPERLINK("https://pbs.twimg.com/profile_images/1065187462211866624/irA6A1Wg.jpg","View")</f>
        <v>View</v>
      </c>
    </row>
    <row r="504" spans="1:21" ht="30.6">
      <c r="A504" s="6">
        <v>43442.392037037032</v>
      </c>
      <c r="B504" s="7" t="str">
        <f>HYPERLINK("https://twitter.com/pallaron12","@pallaron12")</f>
        <v>@pallaron12</v>
      </c>
      <c r="C504" s="8" t="s">
        <v>2159</v>
      </c>
      <c r="D504" s="9" t="s">
        <v>3314</v>
      </c>
      <c r="E504" s="10" t="str">
        <f>HYPERLINK("https://twitter.com/pallaron12/status/1071319602645352449","1071319602645352449")</f>
        <v>1071319602645352449</v>
      </c>
      <c r="F504" s="12" t="s">
        <v>40</v>
      </c>
      <c r="G504" s="11"/>
      <c r="H504" s="11"/>
      <c r="I504" s="13">
        <v>0</v>
      </c>
      <c r="J504" s="13">
        <v>0</v>
      </c>
      <c r="K504" s="14" t="str">
        <f t="shared" si="92"/>
        <v>Twitter for Android</v>
      </c>
      <c r="L504" s="13">
        <v>1481</v>
      </c>
      <c r="M504" s="13">
        <v>551</v>
      </c>
      <c r="N504" s="13">
        <v>8</v>
      </c>
      <c r="O504" s="15"/>
      <c r="P504" s="6">
        <v>41854.66134259259</v>
      </c>
      <c r="Q504" s="18" t="s">
        <v>2162</v>
      </c>
      <c r="R504" s="19" t="s">
        <v>2163</v>
      </c>
      <c r="S504" s="11"/>
      <c r="T504" s="11"/>
      <c r="U504" s="10" t="str">
        <f>HYPERLINK("https://pbs.twimg.com/profile_images/1064713832633896961/NkwZ7D9D.jpg","View")</f>
        <v>View</v>
      </c>
    </row>
    <row r="505" spans="1:21" ht="30.6">
      <c r="A505" s="6">
        <v>43442.391805555555</v>
      </c>
      <c r="B505" s="7" t="str">
        <f>HYPERLINK("https://twitter.com/romaochaita","@romaochaita")</f>
        <v>@romaochaita</v>
      </c>
      <c r="C505" s="8" t="s">
        <v>3317</v>
      </c>
      <c r="D505" s="9" t="s">
        <v>3318</v>
      </c>
      <c r="E505" s="10" t="str">
        <f>HYPERLINK("https://twitter.com/romaochaita/status/1071319520684453888","1071319520684453888")</f>
        <v>1071319520684453888</v>
      </c>
      <c r="F505" s="12" t="s">
        <v>49</v>
      </c>
      <c r="G505" s="11"/>
      <c r="H505" s="11"/>
      <c r="I505" s="13">
        <v>1</v>
      </c>
      <c r="J505" s="13">
        <v>0</v>
      </c>
      <c r="K505" s="14" t="str">
        <f>HYPERLINK("http://twitter.com","Twitter Web Client")</f>
        <v>Twitter Web Client</v>
      </c>
      <c r="L505" s="13">
        <v>3083</v>
      </c>
      <c r="M505" s="13">
        <v>4947</v>
      </c>
      <c r="N505" s="13">
        <v>17</v>
      </c>
      <c r="O505" s="15"/>
      <c r="P505" s="6">
        <v>40780.603773148148</v>
      </c>
      <c r="Q505" s="18" t="s">
        <v>3320</v>
      </c>
      <c r="R505" s="19" t="s">
        <v>3322</v>
      </c>
      <c r="S505" s="11"/>
      <c r="T505" s="11"/>
      <c r="U505" s="10" t="str">
        <f>HYPERLINK("https://pbs.twimg.com/profile_images/843750164372373504/SpJ5AbJQ.jpg","View")</f>
        <v>View</v>
      </c>
    </row>
    <row r="506" spans="1:21" ht="61.2">
      <c r="A506" s="6">
        <v>43442.391145833331</v>
      </c>
      <c r="B506" s="7" t="str">
        <f>HYPERLINK("https://twitter.com/DexterTnecesito","@DexterTnecesito")</f>
        <v>@DexterTnecesito</v>
      </c>
      <c r="C506" s="8" t="s">
        <v>1008</v>
      </c>
      <c r="D506" s="9" t="s">
        <v>1009</v>
      </c>
      <c r="E506" s="10" t="str">
        <f>HYPERLINK("https://twitter.com/DexterTnecesito/status/1071319280296308736","1071319280296308736")</f>
        <v>1071319280296308736</v>
      </c>
      <c r="F506" s="12" t="s">
        <v>1010</v>
      </c>
      <c r="G506" s="12" t="s">
        <v>1011</v>
      </c>
      <c r="H506" s="11"/>
      <c r="I506" s="13">
        <v>0</v>
      </c>
      <c r="J506" s="13">
        <v>0</v>
      </c>
      <c r="K506" s="14" t="str">
        <f>HYPERLINK("http://twitter.com/#!/download/ipad","Twitter for iPad")</f>
        <v>Twitter for iPad</v>
      </c>
      <c r="L506" s="13">
        <v>58</v>
      </c>
      <c r="M506" s="13">
        <v>108</v>
      </c>
      <c r="N506" s="13">
        <v>2</v>
      </c>
      <c r="O506" s="15"/>
      <c r="P506" s="6">
        <v>41191.685127314813</v>
      </c>
      <c r="Q506" s="11"/>
      <c r="R506" s="19" t="s">
        <v>1014</v>
      </c>
      <c r="S506" s="11"/>
      <c r="T506" s="11"/>
      <c r="U506" s="10" t="str">
        <f>HYPERLINK("https://pbs.twimg.com/profile_images/2698486867/9baf0be95673d0d1c6b372c771cf05a0.jpeg","View")</f>
        <v>View</v>
      </c>
    </row>
    <row r="507" spans="1:21" ht="81.599999999999994">
      <c r="A507" s="6">
        <v>43442.391134259262</v>
      </c>
      <c r="B507" s="7" t="str">
        <f>HYPERLINK("https://twitter.com/poujosepTar","@poujosepTar")</f>
        <v>@poujosepTar</v>
      </c>
      <c r="C507" s="8" t="s">
        <v>1019</v>
      </c>
      <c r="D507" s="9" t="s">
        <v>1020</v>
      </c>
      <c r="E507" s="10" t="str">
        <f>HYPERLINK("https://twitter.com/poujosepTar/status/1071319276890529792","1071319276890529792")</f>
        <v>1071319276890529792</v>
      </c>
      <c r="F507" s="12" t="s">
        <v>734</v>
      </c>
      <c r="G507" s="12" t="s">
        <v>735</v>
      </c>
      <c r="H507" s="11"/>
      <c r="I507" s="13">
        <v>1</v>
      </c>
      <c r="J507" s="13">
        <v>2</v>
      </c>
      <c r="K507" s="14" t="str">
        <f>HYPERLINK("http://twitter.com/download/android","Twitter for Android")</f>
        <v>Twitter for Android</v>
      </c>
      <c r="L507" s="13">
        <v>260</v>
      </c>
      <c r="M507" s="13">
        <v>307</v>
      </c>
      <c r="N507" s="13">
        <v>0</v>
      </c>
      <c r="O507" s="15"/>
      <c r="P507" s="6">
        <v>42529.772557870368</v>
      </c>
      <c r="Q507" s="18" t="s">
        <v>1026</v>
      </c>
      <c r="R507" s="19" t="s">
        <v>1027</v>
      </c>
      <c r="S507" s="12" t="s">
        <v>1028</v>
      </c>
      <c r="T507" s="11"/>
      <c r="U507" s="10" t="str">
        <f>HYPERLINK("https://pbs.twimg.com/profile_images/1061026541306556416/9qPPO5PB.jpg","View")</f>
        <v>View</v>
      </c>
    </row>
    <row r="508" spans="1:21" ht="40.799999999999997">
      <c r="A508" s="6">
        <v>43442.39099537037</v>
      </c>
      <c r="B508" s="7" t="str">
        <f>HYPERLINK("https://twitter.com/tio_chabo","@tio_chabo")</f>
        <v>@tio_chabo</v>
      </c>
      <c r="C508" s="8" t="s">
        <v>3331</v>
      </c>
      <c r="D508" s="9" t="s">
        <v>1357</v>
      </c>
      <c r="E508" s="10" t="str">
        <f>HYPERLINK("https://twitter.com/tio_chabo/status/1071319226571476993","1071319226571476993")</f>
        <v>1071319226571476993</v>
      </c>
      <c r="F508" s="12" t="s">
        <v>49</v>
      </c>
      <c r="G508" s="11"/>
      <c r="H508" s="11"/>
      <c r="I508" s="13">
        <v>0</v>
      </c>
      <c r="J508" s="13">
        <v>0</v>
      </c>
      <c r="K508" s="14" t="str">
        <f t="shared" ref="K508:K509" si="93">HYPERLINK("http://www.facebook.com/twitter","Facebook")</f>
        <v>Facebook</v>
      </c>
      <c r="L508" s="13">
        <v>3112</v>
      </c>
      <c r="M508" s="13">
        <v>3722</v>
      </c>
      <c r="N508" s="13">
        <v>68</v>
      </c>
      <c r="O508" s="15"/>
      <c r="P508" s="6">
        <v>40964.769629629627</v>
      </c>
      <c r="Q508" s="18" t="s">
        <v>3332</v>
      </c>
      <c r="R508" s="19" t="s">
        <v>3333</v>
      </c>
      <c r="S508" s="12" t="s">
        <v>3334</v>
      </c>
      <c r="T508" s="11"/>
      <c r="U508" s="10" t="str">
        <f>HYPERLINK("https://pbs.twimg.com/profile_images/837040061870833666/XUkKbbB4.jpg","View")</f>
        <v>View</v>
      </c>
    </row>
    <row r="509" spans="1:21" ht="40.799999999999997">
      <c r="A509" s="6">
        <v>43442.389976851853</v>
      </c>
      <c r="B509" s="7" t="str">
        <f>HYPERLINK("https://twitter.com/merianmi","@merianmi")</f>
        <v>@merianmi</v>
      </c>
      <c r="C509" s="8" t="s">
        <v>3337</v>
      </c>
      <c r="D509" s="9" t="s">
        <v>3338</v>
      </c>
      <c r="E509" s="10" t="str">
        <f>HYPERLINK("https://twitter.com/merianmi/status/1071318858282229762","1071318858282229762")</f>
        <v>1071318858282229762</v>
      </c>
      <c r="F509" s="12" t="s">
        <v>3339</v>
      </c>
      <c r="G509" s="11"/>
      <c r="H509" s="11"/>
      <c r="I509" s="13">
        <v>0</v>
      </c>
      <c r="J509" s="13">
        <v>0</v>
      </c>
      <c r="K509" s="14" t="str">
        <f t="shared" si="93"/>
        <v>Facebook</v>
      </c>
      <c r="L509" s="13">
        <v>1032</v>
      </c>
      <c r="M509" s="13">
        <v>1920</v>
      </c>
      <c r="N509" s="13">
        <v>24</v>
      </c>
      <c r="O509" s="15"/>
      <c r="P509" s="6">
        <v>40169.857233796298</v>
      </c>
      <c r="Q509" s="18" t="s">
        <v>3340</v>
      </c>
      <c r="R509" s="19" t="s">
        <v>3341</v>
      </c>
      <c r="S509" s="12" t="s">
        <v>3342</v>
      </c>
      <c r="T509" s="11"/>
      <c r="U509" s="10" t="str">
        <f>HYPERLINK("https://pbs.twimg.com/profile_images/854401811830251521/dIYzgtDT.jpg","View")</f>
        <v>View</v>
      </c>
    </row>
    <row r="510" spans="1:21" ht="20.399999999999999">
      <c r="A510" s="6">
        <v>43442.389803240745</v>
      </c>
      <c r="B510" s="7" t="str">
        <f>HYPERLINK("https://twitter.com/lasvocesdelpue","@lasvocesdelpue")</f>
        <v>@lasvocesdelpue</v>
      </c>
      <c r="C510" s="8" t="s">
        <v>3345</v>
      </c>
      <c r="D510" s="9" t="s">
        <v>3346</v>
      </c>
      <c r="E510" s="10" t="str">
        <f>HYPERLINK("https://twitter.com/lasvocesdelpue/status/1071318796403658752","1071318796403658752")</f>
        <v>1071318796403658752</v>
      </c>
      <c r="F510" s="12" t="s">
        <v>3347</v>
      </c>
      <c r="G510" s="11"/>
      <c r="H510" s="11"/>
      <c r="I510" s="13">
        <v>4</v>
      </c>
      <c r="J510" s="13">
        <v>3</v>
      </c>
      <c r="K510" s="14" t="str">
        <f t="shared" ref="K510:K511" si="94">HYPERLINK("http://twitter.com","Twitter Web Client")</f>
        <v>Twitter Web Client</v>
      </c>
      <c r="L510" s="13">
        <v>4154</v>
      </c>
      <c r="M510" s="13">
        <v>92</v>
      </c>
      <c r="N510" s="13">
        <v>89</v>
      </c>
      <c r="O510" s="15"/>
      <c r="P510" s="6">
        <v>41569.777789351851</v>
      </c>
      <c r="Q510" s="18" t="s">
        <v>42</v>
      </c>
      <c r="R510" s="19" t="s">
        <v>3351</v>
      </c>
      <c r="S510" s="12" t="s">
        <v>3352</v>
      </c>
      <c r="T510" s="11"/>
      <c r="U510" s="10" t="str">
        <f>HYPERLINK("https://pbs.twimg.com/profile_images/696334914455781377/Ef6C__Hr.png","View")</f>
        <v>View</v>
      </c>
    </row>
    <row r="511" spans="1:21" ht="20.399999999999999">
      <c r="A511" s="6">
        <v>43442.389490740738</v>
      </c>
      <c r="B511" s="7" t="str">
        <f>HYPERLINK("https://twitter.com/merianmi","@merianmi")</f>
        <v>@merianmi</v>
      </c>
      <c r="C511" s="8" t="s">
        <v>3337</v>
      </c>
      <c r="D511" s="9" t="s">
        <v>3353</v>
      </c>
      <c r="E511" s="10" t="str">
        <f>HYPERLINK("https://twitter.com/merianmi/status/1071318683052638208","1071318683052638208")</f>
        <v>1071318683052638208</v>
      </c>
      <c r="F511" s="12" t="s">
        <v>3354</v>
      </c>
      <c r="G511" s="11"/>
      <c r="H511" s="11"/>
      <c r="I511" s="13">
        <v>0</v>
      </c>
      <c r="J511" s="13">
        <v>0</v>
      </c>
      <c r="K511" s="14" t="str">
        <f t="shared" si="94"/>
        <v>Twitter Web Client</v>
      </c>
      <c r="L511" s="13">
        <v>1032</v>
      </c>
      <c r="M511" s="13">
        <v>1920</v>
      </c>
      <c r="N511" s="13">
        <v>24</v>
      </c>
      <c r="O511" s="15"/>
      <c r="P511" s="6">
        <v>40169.857233796298</v>
      </c>
      <c r="Q511" s="18" t="s">
        <v>3340</v>
      </c>
      <c r="R511" s="19" t="s">
        <v>3341</v>
      </c>
      <c r="S511" s="12" t="s">
        <v>3342</v>
      </c>
      <c r="T511" s="11"/>
      <c r="U511" s="10" t="str">
        <f>HYPERLINK("https://pbs.twimg.com/profile_images/854401811830251521/dIYzgtDT.jpg","View")</f>
        <v>View</v>
      </c>
    </row>
    <row r="512" spans="1:21" ht="61.2">
      <c r="A512" s="6">
        <v>43442.388912037037</v>
      </c>
      <c r="B512" s="7" t="str">
        <f>HYPERLINK("https://twitter.com/sanchezmelero","@sanchezmelero")</f>
        <v>@sanchezmelero</v>
      </c>
      <c r="C512" s="8" t="s">
        <v>1029</v>
      </c>
      <c r="D512" s="9" t="s">
        <v>1030</v>
      </c>
      <c r="E512" s="10" t="str">
        <f>HYPERLINK("https://twitter.com/sanchezmelero/status/1071318471240237057","1071318471240237057")</f>
        <v>1071318471240237057</v>
      </c>
      <c r="F512" s="12" t="s">
        <v>1031</v>
      </c>
      <c r="G512" s="12" t="s">
        <v>1032</v>
      </c>
      <c r="H512" s="11"/>
      <c r="I512" s="13">
        <v>0</v>
      </c>
      <c r="J512" s="13">
        <v>0</v>
      </c>
      <c r="K512" s="14" t="str">
        <f>HYPERLINK("http://twitter.com/download/iphone","Twitter for iPhone")</f>
        <v>Twitter for iPhone</v>
      </c>
      <c r="L512" s="13">
        <v>149</v>
      </c>
      <c r="M512" s="13">
        <v>280</v>
      </c>
      <c r="N512" s="13">
        <v>3</v>
      </c>
      <c r="O512" s="15"/>
      <c r="P512" s="6">
        <v>40758.514224537037</v>
      </c>
      <c r="Q512" s="18" t="s">
        <v>1035</v>
      </c>
      <c r="R512" s="19" t="s">
        <v>1036</v>
      </c>
      <c r="S512" s="11"/>
      <c r="T512" s="11"/>
      <c r="U512" s="10" t="str">
        <f>HYPERLINK("https://pbs.twimg.com/profile_images/1514149689/Fotos_Jose_2_compr..JPG","View")</f>
        <v>View</v>
      </c>
    </row>
    <row r="513" spans="1:21" ht="61.2">
      <c r="A513" s="6">
        <v>43442.388726851852</v>
      </c>
      <c r="B513" s="7" t="str">
        <f>HYPERLINK("https://twitter.com/EdgarJLorCa","@EdgarJLorCa")</f>
        <v>@EdgarJLorCa</v>
      </c>
      <c r="C513" s="8" t="s">
        <v>3358</v>
      </c>
      <c r="D513" s="9" t="s">
        <v>3359</v>
      </c>
      <c r="E513" s="10" t="str">
        <f>HYPERLINK("https://twitter.com/EdgarJLorCa/status/1071318404282441728","1071318404282441728")</f>
        <v>1071318404282441728</v>
      </c>
      <c r="F513" s="12" t="s">
        <v>1317</v>
      </c>
      <c r="G513" s="12" t="s">
        <v>1032</v>
      </c>
      <c r="H513" s="11"/>
      <c r="I513" s="13">
        <v>0</v>
      </c>
      <c r="J513" s="13">
        <v>0</v>
      </c>
      <c r="K513" s="14" t="str">
        <f>HYPERLINK("http://twitter.com/download/android","Twitter for Android")</f>
        <v>Twitter for Android</v>
      </c>
      <c r="L513" s="13">
        <v>237</v>
      </c>
      <c r="M513" s="13">
        <v>1503</v>
      </c>
      <c r="N513" s="13">
        <v>4</v>
      </c>
      <c r="O513" s="15"/>
      <c r="P513" s="6">
        <v>41720.800474537034</v>
      </c>
      <c r="Q513" s="18" t="s">
        <v>3361</v>
      </c>
      <c r="R513" s="19" t="s">
        <v>3362</v>
      </c>
      <c r="S513" s="11"/>
      <c r="T513" s="11"/>
      <c r="U513" s="10" t="str">
        <f>HYPERLINK("https://pbs.twimg.com/profile_images/1059174929801850880/g8uKVh8d.jpg","View")</f>
        <v>View</v>
      </c>
    </row>
    <row r="514" spans="1:21" ht="40.799999999999997">
      <c r="A514" s="6">
        <v>43442.387673611112</v>
      </c>
      <c r="B514" s="7" t="str">
        <f>HYPERLINK("https://twitter.com/JoseDoradov10","@JoseDoradov10")</f>
        <v>@JoseDoradov10</v>
      </c>
      <c r="C514" s="8" t="s">
        <v>1039</v>
      </c>
      <c r="D514" s="9" t="s">
        <v>1040</v>
      </c>
      <c r="E514" s="10" t="str">
        <f>HYPERLINK("https://twitter.com/JoseDoradov10/status/1071318021308907520","1071318021308907520")</f>
        <v>1071318021308907520</v>
      </c>
      <c r="F514" s="11"/>
      <c r="G514" s="11"/>
      <c r="H514" s="11"/>
      <c r="I514" s="13">
        <v>0</v>
      </c>
      <c r="J514" s="13">
        <v>0</v>
      </c>
      <c r="K514" s="14" t="str">
        <f>HYPERLINK("https://mobile.twitter.com","Twitter Lite")</f>
        <v>Twitter Lite</v>
      </c>
      <c r="L514" s="13">
        <v>8</v>
      </c>
      <c r="M514" s="13">
        <v>72</v>
      </c>
      <c r="N514" s="13">
        <v>2</v>
      </c>
      <c r="O514" s="15"/>
      <c r="P514" s="6">
        <v>42178.768043981487</v>
      </c>
      <c r="Q514" s="11"/>
      <c r="R514" s="17"/>
      <c r="S514" s="11"/>
      <c r="T514" s="11"/>
      <c r="U514" s="16" t="s">
        <v>191</v>
      </c>
    </row>
    <row r="515" spans="1:21" ht="40.799999999999997">
      <c r="A515" s="6">
        <v>43442.387303240743</v>
      </c>
      <c r="B515" s="7" t="str">
        <f>HYPERLINK("https://twitter.com/PSOE_SanPedro","@PSOE_SanPedro")</f>
        <v>@PSOE_SanPedro</v>
      </c>
      <c r="C515" s="8" t="s">
        <v>3366</v>
      </c>
      <c r="D515" s="9" t="s">
        <v>3367</v>
      </c>
      <c r="E515" s="10" t="str">
        <f>HYPERLINK("https://twitter.com/PSOE_SanPedro/status/1071317889486082048","1071317889486082048")</f>
        <v>1071317889486082048</v>
      </c>
      <c r="F515" s="11"/>
      <c r="G515" s="12" t="s">
        <v>3369</v>
      </c>
      <c r="H515" s="11"/>
      <c r="I515" s="13">
        <v>1</v>
      </c>
      <c r="J515" s="13">
        <v>3</v>
      </c>
      <c r="K515" s="14" t="str">
        <f t="shared" ref="K515:K516" si="95">HYPERLINK("http://twitter.com/download/android","Twitter for Android")</f>
        <v>Twitter for Android</v>
      </c>
      <c r="L515" s="13">
        <v>2545</v>
      </c>
      <c r="M515" s="13">
        <v>1825</v>
      </c>
      <c r="N515" s="13">
        <v>44</v>
      </c>
      <c r="O515" s="15"/>
      <c r="P515" s="6">
        <v>40941.77679398148</v>
      </c>
      <c r="Q515" s="18" t="s">
        <v>3372</v>
      </c>
      <c r="R515" s="19" t="s">
        <v>3373</v>
      </c>
      <c r="S515" s="12" t="s">
        <v>3374</v>
      </c>
      <c r="T515" s="11"/>
      <c r="U515" s="10" t="str">
        <f>HYPERLINK("https://pbs.twimg.com/profile_images/943759769600438272/ugaMiFgJ.jpg","View")</f>
        <v>View</v>
      </c>
    </row>
    <row r="516" spans="1:21" ht="20.399999999999999">
      <c r="A516" s="6">
        <v>43442.387013888889</v>
      </c>
      <c r="B516" s="7" t="str">
        <f>HYPERLINK("https://twitter.com/Nomaguanto","@Nomaguanto")</f>
        <v>@Nomaguanto</v>
      </c>
      <c r="C516" s="8" t="s">
        <v>3376</v>
      </c>
      <c r="D516" s="9" t="s">
        <v>163</v>
      </c>
      <c r="E516" s="10" t="str">
        <f>HYPERLINK("https://twitter.com/Nomaguanto/status/1071317784607498240","1071317784607498240")</f>
        <v>1071317784607498240</v>
      </c>
      <c r="F516" s="12" t="s">
        <v>166</v>
      </c>
      <c r="G516" s="11"/>
      <c r="H516" s="11"/>
      <c r="I516" s="13">
        <v>0</v>
      </c>
      <c r="J516" s="13">
        <v>0</v>
      </c>
      <c r="K516" s="14" t="str">
        <f t="shared" si="95"/>
        <v>Twitter for Android</v>
      </c>
      <c r="L516" s="13">
        <v>183</v>
      </c>
      <c r="M516" s="13">
        <v>411</v>
      </c>
      <c r="N516" s="13">
        <v>3</v>
      </c>
      <c r="O516" s="15"/>
      <c r="P516" s="6">
        <v>42971.902719907404</v>
      </c>
      <c r="Q516" s="11"/>
      <c r="R516" s="17"/>
      <c r="S516" s="11"/>
      <c r="T516" s="11"/>
      <c r="U516" s="10" t="str">
        <f>HYPERLINK("https://pbs.twimg.com/profile_images/900812464526426112/AGnqQXOK.jpg","View")</f>
        <v>View</v>
      </c>
    </row>
    <row r="517" spans="1:21" ht="30.6">
      <c r="A517" s="6">
        <v>43442.386608796296</v>
      </c>
      <c r="B517" s="7" t="str">
        <f>HYPERLINK("https://twitter.com/JA_Bauza","@JA_Bauza")</f>
        <v>@JA_Bauza</v>
      </c>
      <c r="C517" s="8" t="s">
        <v>3380</v>
      </c>
      <c r="D517" s="9" t="s">
        <v>3381</v>
      </c>
      <c r="E517" s="10" t="str">
        <f>HYPERLINK("https://twitter.com/JA_Bauza/status/1071317635248340993","1071317635248340993")</f>
        <v>1071317635248340993</v>
      </c>
      <c r="F517" s="12" t="s">
        <v>166</v>
      </c>
      <c r="G517" s="11"/>
      <c r="H517" s="11"/>
      <c r="I517" s="13">
        <v>7</v>
      </c>
      <c r="J517" s="13">
        <v>4</v>
      </c>
      <c r="K517" s="14" t="str">
        <f>HYPERLINK("http://twitter.com/#!/download/ipad","Twitter for iPad")</f>
        <v>Twitter for iPad</v>
      </c>
      <c r="L517" s="13">
        <v>1882</v>
      </c>
      <c r="M517" s="13">
        <v>477</v>
      </c>
      <c r="N517" s="13">
        <v>37</v>
      </c>
      <c r="O517" s="15"/>
      <c r="P517" s="6">
        <v>40686.83457175926</v>
      </c>
      <c r="Q517" s="11"/>
      <c r="R517" s="17"/>
      <c r="S517" s="11"/>
      <c r="T517" s="11"/>
      <c r="U517" s="10" t="str">
        <f>HYPERLINK("https://pbs.twimg.com/profile_images/433657135629484032/pZsYVTet.jpeg","View")</f>
        <v>View</v>
      </c>
    </row>
    <row r="518" spans="1:21" ht="30.6">
      <c r="A518" s="6">
        <v>43442.386319444442</v>
      </c>
      <c r="B518" s="7" t="str">
        <f>HYPERLINK("https://twitter.com/mbescos","@mbescos")</f>
        <v>@mbescos</v>
      </c>
      <c r="C518" s="8" t="s">
        <v>3384</v>
      </c>
      <c r="D518" s="9" t="s">
        <v>3385</v>
      </c>
      <c r="E518" s="10" t="str">
        <f>HYPERLINK("https://twitter.com/mbescos/status/1071317531670052866","1071317531670052866")</f>
        <v>1071317531670052866</v>
      </c>
      <c r="F518" s="12" t="s">
        <v>3388</v>
      </c>
      <c r="G518" s="11"/>
      <c r="H518" s="11"/>
      <c r="I518" s="13">
        <v>0</v>
      </c>
      <c r="J518" s="13">
        <v>0</v>
      </c>
      <c r="K518" s="14" t="str">
        <f>HYPERLINK("http://twitter.com/download/iphone","Twitter for iPhone")</f>
        <v>Twitter for iPhone</v>
      </c>
      <c r="L518" s="13">
        <v>477</v>
      </c>
      <c r="M518" s="13">
        <v>1293</v>
      </c>
      <c r="N518" s="13">
        <v>11</v>
      </c>
      <c r="O518" s="15"/>
      <c r="P518" s="6">
        <v>40235.019212962965</v>
      </c>
      <c r="Q518" s="11"/>
      <c r="R518" s="19" t="s">
        <v>3390</v>
      </c>
      <c r="S518" s="11"/>
      <c r="T518" s="11"/>
      <c r="U518" s="10" t="str">
        <f>HYPERLINK("https://pbs.twimg.com/profile_images/718254858940334085/JEocVWrn.jpg","View")</f>
        <v>View</v>
      </c>
    </row>
    <row r="519" spans="1:21" ht="30.6">
      <c r="A519" s="6">
        <v>43442.38416666667</v>
      </c>
      <c r="B519" s="7" t="str">
        <f>HYPERLINK("https://twitter.com/Gangrol","@Gangrol")</f>
        <v>@Gangrol</v>
      </c>
      <c r="C519" s="8" t="s">
        <v>3391</v>
      </c>
      <c r="D519" s="9" t="s">
        <v>2593</v>
      </c>
      <c r="E519" s="10" t="str">
        <f>HYPERLINK("https://twitter.com/Gangrol/status/1071316750329888768","1071316750329888768")</f>
        <v>1071316750329888768</v>
      </c>
      <c r="F519" s="12" t="s">
        <v>2595</v>
      </c>
      <c r="G519" s="11"/>
      <c r="H519" s="11"/>
      <c r="I519" s="13">
        <v>0</v>
      </c>
      <c r="J519" s="13">
        <v>0</v>
      </c>
      <c r="K519" s="14" t="str">
        <f t="shared" ref="K519:K520" si="96">HYPERLINK("http://twitter.com","Twitter Web Client")</f>
        <v>Twitter Web Client</v>
      </c>
      <c r="L519" s="13">
        <v>111</v>
      </c>
      <c r="M519" s="13">
        <v>296</v>
      </c>
      <c r="N519" s="13">
        <v>10</v>
      </c>
      <c r="O519" s="15"/>
      <c r="P519" s="6">
        <v>40577.638090277775</v>
      </c>
      <c r="Q519" s="18" t="s">
        <v>3124</v>
      </c>
      <c r="R519" s="19" t="s">
        <v>3394</v>
      </c>
      <c r="S519" s="12" t="s">
        <v>3395</v>
      </c>
      <c r="T519" s="11"/>
      <c r="U519" s="10" t="str">
        <f>HYPERLINK("https://pbs.twimg.com/profile_images/1233673122/eye-of-white-tiger-1600x1200.jpg","View")</f>
        <v>View</v>
      </c>
    </row>
    <row r="520" spans="1:21" ht="40.799999999999997">
      <c r="A520" s="6">
        <v>43442.383611111116</v>
      </c>
      <c r="B520" s="7" t="str">
        <f>HYPERLINK("https://twitter.com/PSOEmalaga","@PSOEmalaga")</f>
        <v>@PSOEmalaga</v>
      </c>
      <c r="C520" s="8" t="s">
        <v>3396</v>
      </c>
      <c r="D520" s="9" t="s">
        <v>3397</v>
      </c>
      <c r="E520" s="10" t="str">
        <f>HYPERLINK("https://twitter.com/PSOEmalaga/status/1071316550139961344","1071316550139961344")</f>
        <v>1071316550139961344</v>
      </c>
      <c r="F520" s="11"/>
      <c r="G520" s="12" t="s">
        <v>3399</v>
      </c>
      <c r="H520" s="11"/>
      <c r="I520" s="13">
        <v>27</v>
      </c>
      <c r="J520" s="13">
        <v>27</v>
      </c>
      <c r="K520" s="14" t="str">
        <f t="shared" si="96"/>
        <v>Twitter Web Client</v>
      </c>
      <c r="L520" s="13">
        <v>9007</v>
      </c>
      <c r="M520" s="13">
        <v>1126</v>
      </c>
      <c r="N520" s="13">
        <v>214</v>
      </c>
      <c r="O520" s="15"/>
      <c r="P520" s="6">
        <v>39921.964826388888</v>
      </c>
      <c r="Q520" s="18" t="s">
        <v>3400</v>
      </c>
      <c r="R520" s="19" t="s">
        <v>3401</v>
      </c>
      <c r="S520" s="12" t="s">
        <v>3402</v>
      </c>
      <c r="T520" s="11"/>
      <c r="U520" s="10" t="str">
        <f>HYPERLINK("https://pbs.twimg.com/profile_images/1060074135286677504/VAi9EVmq.jpg","View")</f>
        <v>View</v>
      </c>
    </row>
    <row r="521" spans="1:21" ht="71.400000000000006">
      <c r="A521" s="6">
        <v>43442.383437500001</v>
      </c>
      <c r="B521" s="7" t="str">
        <f>HYPERLINK("https://twitter.com/Sedjem_Ash","@Sedjem_Ash")</f>
        <v>@Sedjem_Ash</v>
      </c>
      <c r="C521" s="8" t="s">
        <v>1632</v>
      </c>
      <c r="D521" s="9" t="s">
        <v>3405</v>
      </c>
      <c r="E521" s="10" t="str">
        <f>HYPERLINK("https://twitter.com/Sedjem_Ash/status/1071316489590988800","1071316489590988800")</f>
        <v>1071316489590988800</v>
      </c>
      <c r="F521" s="18" t="s">
        <v>3406</v>
      </c>
      <c r="G521" s="11"/>
      <c r="H521" s="11"/>
      <c r="I521" s="13">
        <v>0</v>
      </c>
      <c r="J521" s="13">
        <v>0</v>
      </c>
      <c r="K521" s="14" t="str">
        <f>HYPERLINK("https://mobile.twitter.com","Twitter Lite")</f>
        <v>Twitter Lite</v>
      </c>
      <c r="L521" s="13">
        <v>113</v>
      </c>
      <c r="M521" s="13">
        <v>149</v>
      </c>
      <c r="N521" s="13">
        <v>0</v>
      </c>
      <c r="O521" s="15"/>
      <c r="P521" s="6">
        <v>42823.425381944442</v>
      </c>
      <c r="Q521" s="18" t="s">
        <v>256</v>
      </c>
      <c r="R521" s="19" t="s">
        <v>1634</v>
      </c>
      <c r="S521" s="11"/>
      <c r="T521" s="11"/>
      <c r="U521" s="10" t="str">
        <f>HYPERLINK("https://pbs.twimg.com/profile_images/849934217798725633/8xc5FOHt.jpg","View")</f>
        <v>View</v>
      </c>
    </row>
    <row r="522" spans="1:21" ht="51">
      <c r="A522" s="6">
        <v>43442.38208333333</v>
      </c>
      <c r="B522" s="7" t="str">
        <f>HYPERLINK("https://twitter.com/Thorodinson76","@Thorodinson76")</f>
        <v>@Thorodinson76</v>
      </c>
      <c r="C522" s="8" t="s">
        <v>1044</v>
      </c>
      <c r="D522" s="9" t="s">
        <v>1045</v>
      </c>
      <c r="E522" s="10" t="str">
        <f>HYPERLINK("https://twitter.com/Thorodinson76/status/1071315996286296064","1071315996286296064")</f>
        <v>1071315996286296064</v>
      </c>
      <c r="F522" s="12" t="s">
        <v>1047</v>
      </c>
      <c r="G522" s="11"/>
      <c r="H522" s="11"/>
      <c r="I522" s="13">
        <v>0</v>
      </c>
      <c r="J522" s="13">
        <v>0</v>
      </c>
      <c r="K522" s="14" t="str">
        <f t="shared" ref="K522:K523" si="97">HYPERLINK("http://twitter.com/download/android","Twitter for Android")</f>
        <v>Twitter for Android</v>
      </c>
      <c r="L522" s="13">
        <v>812</v>
      </c>
      <c r="M522" s="13">
        <v>2289</v>
      </c>
      <c r="N522" s="13">
        <v>13</v>
      </c>
      <c r="O522" s="15"/>
      <c r="P522" s="6">
        <v>41839.427291666667</v>
      </c>
      <c r="Q522" s="18" t="s">
        <v>307</v>
      </c>
      <c r="R522" s="19" t="s">
        <v>1048</v>
      </c>
      <c r="S522" s="11"/>
      <c r="T522" s="11"/>
      <c r="U522" s="10" t="str">
        <f>HYPERLINK("https://pbs.twimg.com/profile_images/854052266541817857/RVDB8KJI.jpg","View")</f>
        <v>View</v>
      </c>
    </row>
    <row r="523" spans="1:21" ht="13.2">
      <c r="A523" s="6">
        <v>43442.381412037037</v>
      </c>
      <c r="B523" s="7" t="str">
        <f>HYPERLINK("https://twitter.com/bastian_cortina","@bastian_cortina")</f>
        <v>@bastian_cortina</v>
      </c>
      <c r="C523" s="8" t="s">
        <v>3411</v>
      </c>
      <c r="D523" s="9" t="s">
        <v>612</v>
      </c>
      <c r="E523" s="10" t="str">
        <f>HYPERLINK("https://twitter.com/bastian_cortina/status/1071315752173666304","1071315752173666304")</f>
        <v>1071315752173666304</v>
      </c>
      <c r="F523" s="12" t="s">
        <v>49</v>
      </c>
      <c r="G523" s="11"/>
      <c r="H523" s="11"/>
      <c r="I523" s="13">
        <v>0</v>
      </c>
      <c r="J523" s="13">
        <v>0</v>
      </c>
      <c r="K523" s="14" t="str">
        <f t="shared" si="97"/>
        <v>Twitter for Android</v>
      </c>
      <c r="L523" s="13">
        <v>50</v>
      </c>
      <c r="M523" s="13">
        <v>79</v>
      </c>
      <c r="N523" s="13">
        <v>0</v>
      </c>
      <c r="O523" s="15"/>
      <c r="P523" s="6">
        <v>42451.998622685191</v>
      </c>
      <c r="Q523" s="11"/>
      <c r="R523" s="17"/>
      <c r="S523" s="11"/>
      <c r="T523" s="11"/>
      <c r="U523" s="10" t="str">
        <f>HYPERLINK("https://pbs.twimg.com/profile_images/875398308705050624/0qvSeUew.jpg","View")</f>
        <v>View</v>
      </c>
    </row>
    <row r="524" spans="1:21" ht="20.399999999999999">
      <c r="A524" s="6">
        <v>43442.381342592591</v>
      </c>
      <c r="B524" s="7" t="str">
        <f>HYPERLINK("https://twitter.com/CestariOscar","@CestariOscar")</f>
        <v>@CestariOscar</v>
      </c>
      <c r="C524" s="8" t="s">
        <v>3415</v>
      </c>
      <c r="D524" s="9" t="s">
        <v>743</v>
      </c>
      <c r="E524" s="10" t="str">
        <f>HYPERLINK("https://twitter.com/CestariOscar/status/1071315729507631104","1071315729507631104")</f>
        <v>1071315729507631104</v>
      </c>
      <c r="F524" s="12" t="s">
        <v>280</v>
      </c>
      <c r="G524" s="11"/>
      <c r="H524" s="11"/>
      <c r="I524" s="13">
        <v>0</v>
      </c>
      <c r="J524" s="13">
        <v>0</v>
      </c>
      <c r="K524" s="14" t="str">
        <f>HYPERLINK("http://www.facebook.com/twitter","Facebook")</f>
        <v>Facebook</v>
      </c>
      <c r="L524" s="13">
        <v>166</v>
      </c>
      <c r="M524" s="13">
        <v>181</v>
      </c>
      <c r="N524" s="13">
        <v>0</v>
      </c>
      <c r="O524" s="15"/>
      <c r="P524" s="6">
        <v>41710.824618055558</v>
      </c>
      <c r="Q524" s="11"/>
      <c r="R524" s="17"/>
      <c r="S524" s="11"/>
      <c r="T524" s="11"/>
      <c r="U524" s="10" t="str">
        <f>HYPERLINK("https://pbs.twimg.com/profile_images/460021269207863296/yjBUNpoY.jpeg","View")</f>
        <v>View</v>
      </c>
    </row>
    <row r="525" spans="1:21" ht="20.399999999999999">
      <c r="A525" s="6">
        <v>43442.377685185187</v>
      </c>
      <c r="B525" s="7" t="str">
        <f>HYPERLINK("https://twitter.com/Nattor54","@Nattor54")</f>
        <v>@Nattor54</v>
      </c>
      <c r="C525" s="8" t="s">
        <v>3420</v>
      </c>
      <c r="D525" s="9" t="s">
        <v>285</v>
      </c>
      <c r="E525" s="10" t="str">
        <f>HYPERLINK("https://twitter.com/Nattor54/status/1071314401653911553","1071314401653911553")</f>
        <v>1071314401653911553</v>
      </c>
      <c r="F525" s="12" t="s">
        <v>290</v>
      </c>
      <c r="G525" s="11"/>
      <c r="H525" s="11"/>
      <c r="I525" s="13">
        <v>0</v>
      </c>
      <c r="J525" s="13">
        <v>1</v>
      </c>
      <c r="K525" s="14" t="str">
        <f>HYPERLINK("http://twitter.com/download/android","Twitter for Android")</f>
        <v>Twitter for Android</v>
      </c>
      <c r="L525" s="13">
        <v>105</v>
      </c>
      <c r="M525" s="13">
        <v>472</v>
      </c>
      <c r="N525" s="13">
        <v>0</v>
      </c>
      <c r="O525" s="15"/>
      <c r="P525" s="6">
        <v>40802.830185185187</v>
      </c>
      <c r="Q525" s="11"/>
      <c r="R525" s="17"/>
      <c r="S525" s="11"/>
      <c r="T525" s="11"/>
      <c r="U525" s="10" t="str">
        <f>HYPERLINK("https://pbs.twimg.com/profile_images/1065251124826046464/NLgf_8wt.jpg","View")</f>
        <v>View</v>
      </c>
    </row>
    <row r="526" spans="1:21" ht="30.6">
      <c r="A526" s="6">
        <v>43442.377442129626</v>
      </c>
      <c r="B526" s="7" t="str">
        <f>HYPERLINK("https://twitter.com/NoticiarioES","@NoticiarioES")</f>
        <v>@NoticiarioES</v>
      </c>
      <c r="C526" s="8" t="s">
        <v>3422</v>
      </c>
      <c r="D526" s="9" t="s">
        <v>743</v>
      </c>
      <c r="E526" s="10" t="str">
        <f>HYPERLINK("https://twitter.com/NoticiarioES/status/1071314316849229824","1071314316849229824")</f>
        <v>1071314316849229824</v>
      </c>
      <c r="F526" s="12" t="s">
        <v>3425</v>
      </c>
      <c r="G526" s="11"/>
      <c r="H526" s="11"/>
      <c r="I526" s="13">
        <v>0</v>
      </c>
      <c r="J526" s="13">
        <v>0</v>
      </c>
      <c r="K526" s="14" t="str">
        <f>HYPERLINK("https://ifttt.com","IFTTT")</f>
        <v>IFTTT</v>
      </c>
      <c r="L526" s="13">
        <v>203</v>
      </c>
      <c r="M526" s="13">
        <v>6</v>
      </c>
      <c r="N526" s="13">
        <v>7</v>
      </c>
      <c r="O526" s="15"/>
      <c r="P526" s="6">
        <v>39678.946342592593</v>
      </c>
      <c r="Q526" s="18" t="s">
        <v>3427</v>
      </c>
      <c r="R526" s="19" t="s">
        <v>3428</v>
      </c>
      <c r="S526" s="12" t="s">
        <v>3429</v>
      </c>
      <c r="T526" s="11"/>
      <c r="U526" s="10" t="str">
        <f>HYPERLINK("https://pbs.twimg.com/profile_images/994642847935664130/qdn8TSqA.jpg","View")</f>
        <v>View</v>
      </c>
    </row>
    <row r="527" spans="1:21" ht="61.2">
      <c r="A527" s="6">
        <v>43442.377418981487</v>
      </c>
      <c r="B527" s="7" t="str">
        <f>HYPERLINK("https://twitter.com/EM_X10","@EM_X10")</f>
        <v>@EM_X10</v>
      </c>
      <c r="C527" s="8" t="s">
        <v>1052</v>
      </c>
      <c r="D527" s="9" t="s">
        <v>1053</v>
      </c>
      <c r="E527" s="10" t="str">
        <f>HYPERLINK("https://twitter.com/EM_X10/status/1071314307525345280","1071314307525345280")</f>
        <v>1071314307525345280</v>
      </c>
      <c r="F527" s="12" t="s">
        <v>1056</v>
      </c>
      <c r="G527" s="11"/>
      <c r="H527" s="11"/>
      <c r="I527" s="13">
        <v>0</v>
      </c>
      <c r="J527" s="13">
        <v>0</v>
      </c>
      <c r="K527" s="14" t="str">
        <f t="shared" ref="K527:K528" si="98">HYPERLINK("http://twitter.com/download/android","Twitter for Android")</f>
        <v>Twitter for Android</v>
      </c>
      <c r="L527" s="13">
        <v>601</v>
      </c>
      <c r="M527" s="13">
        <v>426</v>
      </c>
      <c r="N527" s="13">
        <v>7</v>
      </c>
      <c r="O527" s="15"/>
      <c r="P527" s="6">
        <v>41043.429780092592</v>
      </c>
      <c r="Q527" s="18" t="s">
        <v>1058</v>
      </c>
      <c r="R527" s="19" t="s">
        <v>1059</v>
      </c>
      <c r="S527" s="11"/>
      <c r="T527" s="11"/>
      <c r="U527" s="10" t="str">
        <f>HYPERLINK("https://pbs.twimg.com/profile_images/1013492844298989571/7H70XZ9p.jpg","View")</f>
        <v>View</v>
      </c>
    </row>
    <row r="528" spans="1:21" ht="20.399999999999999">
      <c r="A528" s="6">
        <v>43442.376030092593</v>
      </c>
      <c r="B528" s="7" t="str">
        <f>HYPERLINK("https://twitter.com/maribelbotoah","@maribelbotoah")</f>
        <v>@maribelbotoah</v>
      </c>
      <c r="C528" s="8" t="s">
        <v>3433</v>
      </c>
      <c r="D528" s="9" t="s">
        <v>279</v>
      </c>
      <c r="E528" s="10" t="str">
        <f>HYPERLINK("https://twitter.com/maribelbotoah/status/1071313802799579136","1071313802799579136")</f>
        <v>1071313802799579136</v>
      </c>
      <c r="F528" s="12" t="s">
        <v>280</v>
      </c>
      <c r="G528" s="11"/>
      <c r="H528" s="11"/>
      <c r="I528" s="13">
        <v>0</v>
      </c>
      <c r="J528" s="13">
        <v>1</v>
      </c>
      <c r="K528" s="14" t="str">
        <f t="shared" si="98"/>
        <v>Twitter for Android</v>
      </c>
      <c r="L528" s="13">
        <v>4522</v>
      </c>
      <c r="M528" s="13">
        <v>1775</v>
      </c>
      <c r="N528" s="13">
        <v>60</v>
      </c>
      <c r="O528" s="15"/>
      <c r="P528" s="6">
        <v>41332.910451388889</v>
      </c>
      <c r="Q528" s="11"/>
      <c r="R528" s="19" t="s">
        <v>3436</v>
      </c>
      <c r="S528" s="11"/>
      <c r="T528" s="11"/>
      <c r="U528" s="10" t="str">
        <f>HYPERLINK("https://pbs.twimg.com/profile_images/1069261668742561792/2HuM9Sov.jpg","View")</f>
        <v>View</v>
      </c>
    </row>
    <row r="529" spans="1:21" ht="20.399999999999999">
      <c r="A529" s="6">
        <v>43442.375023148154</v>
      </c>
      <c r="B529" s="7" t="str">
        <f>HYPERLINK("https://twitter.com/web_hispanidad","@web_hispanidad")</f>
        <v>@web_hispanidad</v>
      </c>
      <c r="C529" s="8" t="s">
        <v>3437</v>
      </c>
      <c r="D529" s="9" t="s">
        <v>3438</v>
      </c>
      <c r="E529" s="10" t="str">
        <f>HYPERLINK("https://twitter.com/web_hispanidad/status/1071313440197763074","1071313440197763074")</f>
        <v>1071313440197763074</v>
      </c>
      <c r="F529" s="12" t="s">
        <v>3441</v>
      </c>
      <c r="G529" s="11"/>
      <c r="H529" s="11"/>
      <c r="I529" s="13">
        <v>0</v>
      </c>
      <c r="J529" s="13">
        <v>0</v>
      </c>
      <c r="K529" s="14" t="str">
        <f>HYPERLINK("http://www.wearebab.com","Comitium5 BAB")</f>
        <v>Comitium5 BAB</v>
      </c>
      <c r="L529" s="13">
        <v>7616</v>
      </c>
      <c r="M529" s="13">
        <v>3846</v>
      </c>
      <c r="N529" s="13">
        <v>212</v>
      </c>
      <c r="O529" s="15"/>
      <c r="P529" s="6">
        <v>40274.553935185184</v>
      </c>
      <c r="Q529" s="18" t="s">
        <v>100</v>
      </c>
      <c r="R529" s="19" t="s">
        <v>3444</v>
      </c>
      <c r="S529" s="12" t="s">
        <v>3445</v>
      </c>
      <c r="T529" s="11"/>
      <c r="U529" s="10" t="str">
        <f>HYPERLINK("https://pbs.twimg.com/profile_images/841028223/logo_H.gif","View")</f>
        <v>View</v>
      </c>
    </row>
    <row r="530" spans="1:21" ht="71.400000000000006">
      <c r="A530" s="6">
        <v>43442.375023148154</v>
      </c>
      <c r="B530" s="7" t="str">
        <f>HYPERLINK("https://twitter.com/Palentino7","@Palentino7")</f>
        <v>@Palentino7</v>
      </c>
      <c r="C530" s="8" t="s">
        <v>3446</v>
      </c>
      <c r="D530" s="9" t="s">
        <v>3448</v>
      </c>
      <c r="E530" s="10" t="str">
        <f>HYPERLINK("https://twitter.com/Palentino7/status/1071313437354004480","1071313437354004480")</f>
        <v>1071313437354004480</v>
      </c>
      <c r="F530" s="12" t="s">
        <v>2827</v>
      </c>
      <c r="G530" s="12" t="s">
        <v>2829</v>
      </c>
      <c r="H530" s="11"/>
      <c r="I530" s="13">
        <v>1</v>
      </c>
      <c r="J530" s="13">
        <v>1</v>
      </c>
      <c r="K530" s="14" t="str">
        <f>HYPERLINK("http://twitter.com/download/android","Twitter for Android")</f>
        <v>Twitter for Android</v>
      </c>
      <c r="L530" s="13">
        <v>180</v>
      </c>
      <c r="M530" s="13">
        <v>785</v>
      </c>
      <c r="N530" s="13">
        <v>4</v>
      </c>
      <c r="O530" s="15"/>
      <c r="P530" s="6">
        <v>40407.486076388886</v>
      </c>
      <c r="Q530" s="18" t="s">
        <v>2110</v>
      </c>
      <c r="R530" s="19" t="s">
        <v>3452</v>
      </c>
      <c r="S530" s="11"/>
      <c r="T530" s="11"/>
      <c r="U530" s="10" t="str">
        <f>HYPERLINK("https://pbs.twimg.com/profile_images/378800000654119531/ad5e7f080af3d11d6cc3f57c755a1c44.jpeg","View")</f>
        <v>View</v>
      </c>
    </row>
    <row r="531" spans="1:21" ht="40.799999999999997">
      <c r="A531" s="6">
        <v>43442.374942129631</v>
      </c>
      <c r="B531" s="7" t="str">
        <f>HYPERLINK("https://twitter.com/FERMINVILLALBA","@FERMINVILLALBA")</f>
        <v>@FERMINVILLALBA</v>
      </c>
      <c r="C531" s="8" t="s">
        <v>1060</v>
      </c>
      <c r="D531" s="9" t="s">
        <v>1061</v>
      </c>
      <c r="E531" s="10" t="str">
        <f>HYPERLINK("https://twitter.com/FERMINVILLALBA/status/1071313407884886016","1071313407884886016")</f>
        <v>1071313407884886016</v>
      </c>
      <c r="F531" s="11"/>
      <c r="G531" s="11"/>
      <c r="H531" s="11"/>
      <c r="I531" s="13">
        <v>2</v>
      </c>
      <c r="J531" s="13">
        <v>2</v>
      </c>
      <c r="K531" s="14" t="str">
        <f>HYPERLINK("http://www.facebook.com/twitter","Facebook")</f>
        <v>Facebook</v>
      </c>
      <c r="L531" s="13">
        <v>766</v>
      </c>
      <c r="M531" s="13">
        <v>2768</v>
      </c>
      <c r="N531" s="13">
        <v>1</v>
      </c>
      <c r="O531" s="15"/>
      <c r="P531" s="6">
        <v>40639.128136574072</v>
      </c>
      <c r="Q531" s="18" t="s">
        <v>1064</v>
      </c>
      <c r="R531" s="17"/>
      <c r="S531" s="12" t="s">
        <v>1065</v>
      </c>
      <c r="T531" s="11"/>
      <c r="U531" s="10" t="str">
        <f>HYPERLINK("https://pbs.twimg.com/profile_images/1010081630973775872/Qj66i8DW.jpg","View")</f>
        <v>View</v>
      </c>
    </row>
    <row r="532" spans="1:21" ht="20.399999999999999">
      <c r="A532" s="6">
        <v>43442.373668981483</v>
      </c>
      <c r="B532" s="7" t="str">
        <f>HYPERLINK("https://twitter.com/PpcaballosPepe","@PpcaballosPepe")</f>
        <v>@PpcaballosPepe</v>
      </c>
      <c r="C532" s="8" t="s">
        <v>2752</v>
      </c>
      <c r="D532" s="9" t="s">
        <v>1452</v>
      </c>
      <c r="E532" s="10" t="str">
        <f>HYPERLINK("https://twitter.com/PpcaballosPepe/status/1071312948918915073","1071312948918915073")</f>
        <v>1071312948918915073</v>
      </c>
      <c r="F532" s="12" t="s">
        <v>296</v>
      </c>
      <c r="G532" s="11"/>
      <c r="H532" s="11"/>
      <c r="I532" s="13">
        <v>0</v>
      </c>
      <c r="J532" s="13">
        <v>0</v>
      </c>
      <c r="K532" s="14" t="str">
        <f t="shared" ref="K532:K533" si="99">HYPERLINK("http://twitter.com/download/android","Twitter for Android")</f>
        <v>Twitter for Android</v>
      </c>
      <c r="L532" s="13">
        <v>71</v>
      </c>
      <c r="M532" s="13">
        <v>205</v>
      </c>
      <c r="N532" s="13">
        <v>0</v>
      </c>
      <c r="O532" s="15"/>
      <c r="P532" s="6">
        <v>40963.386145833334</v>
      </c>
      <c r="Q532" s="11"/>
      <c r="R532" s="19" t="s">
        <v>2757</v>
      </c>
      <c r="S532" s="11"/>
      <c r="T532" s="11"/>
      <c r="U532" s="16" t="s">
        <v>191</v>
      </c>
    </row>
    <row r="533" spans="1:21" ht="30.6">
      <c r="A533" s="6">
        <v>43442.373541666668</v>
      </c>
      <c r="B533" s="7" t="str">
        <f>HYPERLINK("https://twitter.com/JulioAbascal56","@JulioAbascal56")</f>
        <v>@JulioAbascal56</v>
      </c>
      <c r="C533" s="8" t="s">
        <v>3462</v>
      </c>
      <c r="D533" s="9" t="s">
        <v>1452</v>
      </c>
      <c r="E533" s="10" t="str">
        <f>HYPERLINK("https://twitter.com/JulioAbascal56/status/1071312902500552704","1071312902500552704")</f>
        <v>1071312902500552704</v>
      </c>
      <c r="F533" s="12" t="s">
        <v>296</v>
      </c>
      <c r="G533" s="11"/>
      <c r="H533" s="11"/>
      <c r="I533" s="13">
        <v>1</v>
      </c>
      <c r="J533" s="13">
        <v>2</v>
      </c>
      <c r="K533" s="14" t="str">
        <f t="shared" si="99"/>
        <v>Twitter for Android</v>
      </c>
      <c r="L533" s="13">
        <v>1361</v>
      </c>
      <c r="M533" s="13">
        <v>120</v>
      </c>
      <c r="N533" s="13">
        <v>79</v>
      </c>
      <c r="O533" s="15"/>
      <c r="P533" s="6">
        <v>41205.868796296294</v>
      </c>
      <c r="Q533" s="18" t="s">
        <v>3466</v>
      </c>
      <c r="R533" s="19" t="s">
        <v>3467</v>
      </c>
      <c r="S533" s="11"/>
      <c r="T533" s="11"/>
      <c r="U533" s="10" t="str">
        <f>HYPERLINK("https://pbs.twimg.com/profile_images/903490145638244353/mStZrF_t.jpg","View")</f>
        <v>View</v>
      </c>
    </row>
    <row r="534" spans="1:21" ht="40.799999999999997">
      <c r="A534" s="6">
        <v>43442.373425925922</v>
      </c>
      <c r="B534" s="7" t="str">
        <f>HYPERLINK("https://twitter.com/PdeSamos","@PdeSamos")</f>
        <v>@PdeSamos</v>
      </c>
      <c r="C534" s="8" t="s">
        <v>1432</v>
      </c>
      <c r="D534" s="9" t="s">
        <v>3469</v>
      </c>
      <c r="E534" s="10" t="str">
        <f>HYPERLINK("https://twitter.com/PdeSamos/status/1071312859919986688","1071312859919986688")</f>
        <v>1071312859919986688</v>
      </c>
      <c r="F534" s="12" t="s">
        <v>3471</v>
      </c>
      <c r="G534" s="11"/>
      <c r="H534" s="11"/>
      <c r="I534" s="13">
        <v>0</v>
      </c>
      <c r="J534" s="13">
        <v>0</v>
      </c>
      <c r="K534" s="14" t="str">
        <f>HYPERLINK("http://republico.ddns.net","App Libertad PdeSamos")</f>
        <v>App Libertad PdeSamos</v>
      </c>
      <c r="L534" s="13">
        <v>5398</v>
      </c>
      <c r="M534" s="13">
        <v>5441</v>
      </c>
      <c r="N534" s="13">
        <v>12</v>
      </c>
      <c r="O534" s="15"/>
      <c r="P534" s="6">
        <v>42889.820567129631</v>
      </c>
      <c r="Q534" s="18" t="s">
        <v>1336</v>
      </c>
      <c r="R534" s="19" t="s">
        <v>1438</v>
      </c>
      <c r="S534" s="11"/>
      <c r="T534" s="11"/>
      <c r="U534" s="10" t="str">
        <f>HYPERLINK("https://pbs.twimg.com/profile_images/871063742003511296/xK2IYbrO.jpg","View")</f>
        <v>View</v>
      </c>
    </row>
    <row r="535" spans="1:21" ht="40.799999999999997">
      <c r="A535" s="6">
        <v>43442.37299768519</v>
      </c>
      <c r="B535" s="7" t="str">
        <f>HYPERLINK("https://twitter.com/MELONCANTALOU","@MELONCANTALOU")</f>
        <v>@MELONCANTALOU</v>
      </c>
      <c r="C535" s="8" t="s">
        <v>1066</v>
      </c>
      <c r="D535" s="9" t="s">
        <v>1067</v>
      </c>
      <c r="E535" s="10" t="str">
        <f>HYPERLINK("https://twitter.com/MELONCANTALOU/status/1071312703719948289","1071312703719948289")</f>
        <v>1071312703719948289</v>
      </c>
      <c r="F535" s="12" t="s">
        <v>1068</v>
      </c>
      <c r="G535" s="11"/>
      <c r="H535" s="11"/>
      <c r="I535" s="13">
        <v>2</v>
      </c>
      <c r="J535" s="13">
        <v>4</v>
      </c>
      <c r="K535" s="14" t="str">
        <f t="shared" ref="K535:K537" si="100">HYPERLINK("http://twitter.com/download/iphone","Twitter for iPhone")</f>
        <v>Twitter for iPhone</v>
      </c>
      <c r="L535" s="13">
        <v>32</v>
      </c>
      <c r="M535" s="13">
        <v>214</v>
      </c>
      <c r="N535" s="13">
        <v>0</v>
      </c>
      <c r="O535" s="15"/>
      <c r="P535" s="6">
        <v>42826.892604166671</v>
      </c>
      <c r="Q535" s="11"/>
      <c r="R535" s="19" t="s">
        <v>1071</v>
      </c>
      <c r="S535" s="11"/>
      <c r="T535" s="11"/>
      <c r="U535" s="10" t="str">
        <f>HYPERLINK("https://pbs.twimg.com/profile_images/924164728829759488/UNvCl1I0.jpg","View")</f>
        <v>View</v>
      </c>
    </row>
    <row r="536" spans="1:21" ht="30.6">
      <c r="A536" s="6">
        <v>43442.372581018513</v>
      </c>
      <c r="B536" s="7" t="str">
        <f>HYPERLINK("https://twitter.com/Elittista","@Elittista")</f>
        <v>@Elittista</v>
      </c>
      <c r="C536" s="8" t="s">
        <v>1073</v>
      </c>
      <c r="D536" s="9" t="s">
        <v>1074</v>
      </c>
      <c r="E536" s="10" t="str">
        <f>HYPERLINK("https://twitter.com/Elittista/status/1071312554641764352","1071312554641764352")</f>
        <v>1071312554641764352</v>
      </c>
      <c r="F536" s="12" t="s">
        <v>1076</v>
      </c>
      <c r="G536" s="12" t="s">
        <v>1077</v>
      </c>
      <c r="H536" s="11"/>
      <c r="I536" s="13">
        <v>0</v>
      </c>
      <c r="J536" s="13">
        <v>0</v>
      </c>
      <c r="K536" s="14" t="str">
        <f t="shared" si="100"/>
        <v>Twitter for iPhone</v>
      </c>
      <c r="L536" s="13">
        <v>444</v>
      </c>
      <c r="M536" s="13">
        <v>2408</v>
      </c>
      <c r="N536" s="13">
        <v>5</v>
      </c>
      <c r="O536" s="15"/>
      <c r="P536" s="6">
        <v>42683.798460648148</v>
      </c>
      <c r="Q536" s="18" t="s">
        <v>42</v>
      </c>
      <c r="R536" s="19" t="s">
        <v>1078</v>
      </c>
      <c r="S536" s="11"/>
      <c r="T536" s="11"/>
      <c r="U536" s="10" t="str">
        <f>HYPERLINK("https://pbs.twimg.com/profile_images/1069353757325123584/vnDlPuuT.jpg","View")</f>
        <v>View</v>
      </c>
    </row>
    <row r="537" spans="1:21" ht="102">
      <c r="A537" s="6">
        <v>43442.371678240743</v>
      </c>
      <c r="B537" s="7" t="str">
        <f>HYPERLINK("https://twitter.com/mmillan23","@mmillan23")</f>
        <v>@mmillan23</v>
      </c>
      <c r="C537" s="8" t="s">
        <v>1081</v>
      </c>
      <c r="D537" s="9" t="s">
        <v>1082</v>
      </c>
      <c r="E537" s="10" t="str">
        <f>HYPERLINK("https://twitter.com/mmillan23/status/1071312228035518464","1071312228035518464")</f>
        <v>1071312228035518464</v>
      </c>
      <c r="F537" s="18" t="s">
        <v>1085</v>
      </c>
      <c r="G537" s="11"/>
      <c r="H537" s="11"/>
      <c r="I537" s="13">
        <v>0</v>
      </c>
      <c r="J537" s="13">
        <v>0</v>
      </c>
      <c r="K537" s="14" t="str">
        <f t="shared" si="100"/>
        <v>Twitter for iPhone</v>
      </c>
      <c r="L537" s="13">
        <v>135</v>
      </c>
      <c r="M537" s="13">
        <v>169</v>
      </c>
      <c r="N537" s="13">
        <v>2</v>
      </c>
      <c r="O537" s="15"/>
      <c r="P537" s="6">
        <v>40505.929178240738</v>
      </c>
      <c r="Q537" s="18" t="s">
        <v>1086</v>
      </c>
      <c r="R537" s="19" t="s">
        <v>1087</v>
      </c>
      <c r="S537" s="11"/>
      <c r="T537" s="11"/>
      <c r="U537" s="10" t="str">
        <f>HYPERLINK("https://pbs.twimg.com/profile_images/579562269106929665/XVgiR2M1.jpg","View")</f>
        <v>View</v>
      </c>
    </row>
    <row r="538" spans="1:21" ht="30.6">
      <c r="A538" s="6">
        <v>43442.369618055556</v>
      </c>
      <c r="B538" s="7" t="str">
        <f>HYPERLINK("https://twitter.com/pallaron12","@pallaron12")</f>
        <v>@pallaron12</v>
      </c>
      <c r="C538" s="8" t="s">
        <v>2159</v>
      </c>
      <c r="D538" s="9" t="s">
        <v>1452</v>
      </c>
      <c r="E538" s="10" t="str">
        <f>HYPERLINK("https://twitter.com/pallaron12/status/1071311479364878336","1071311479364878336")</f>
        <v>1071311479364878336</v>
      </c>
      <c r="F538" s="12" t="s">
        <v>296</v>
      </c>
      <c r="G538" s="11"/>
      <c r="H538" s="11"/>
      <c r="I538" s="13">
        <v>0</v>
      </c>
      <c r="J538" s="13">
        <v>0</v>
      </c>
      <c r="K538" s="14" t="str">
        <f>HYPERLINK("http://twitter.com/download/android","Twitter for Android")</f>
        <v>Twitter for Android</v>
      </c>
      <c r="L538" s="13">
        <v>1481</v>
      </c>
      <c r="M538" s="13">
        <v>551</v>
      </c>
      <c r="N538" s="13">
        <v>8</v>
      </c>
      <c r="O538" s="15"/>
      <c r="P538" s="6">
        <v>41854.66134259259</v>
      </c>
      <c r="Q538" s="18" t="s">
        <v>2162</v>
      </c>
      <c r="R538" s="19" t="s">
        <v>2163</v>
      </c>
      <c r="S538" s="11"/>
      <c r="T538" s="11"/>
      <c r="U538" s="10" t="str">
        <f>HYPERLINK("https://pbs.twimg.com/profile_images/1064713832633896961/NkwZ7D9D.jpg","View")</f>
        <v>View</v>
      </c>
    </row>
    <row r="539" spans="1:21" ht="51">
      <c r="A539" s="6">
        <v>43442.369085648148</v>
      </c>
      <c r="B539" s="7" t="str">
        <f>HYPERLINK("https://twitter.com/PerezGon1","@PerezGon1")</f>
        <v>@PerezGon1</v>
      </c>
      <c r="C539" s="8" t="s">
        <v>3490</v>
      </c>
      <c r="D539" s="9" t="s">
        <v>3491</v>
      </c>
      <c r="E539" s="10" t="str">
        <f>HYPERLINK("https://twitter.com/PerezGon1/status/1071311286451998720","1071311286451998720")</f>
        <v>1071311286451998720</v>
      </c>
      <c r="F539" s="18" t="s">
        <v>3494</v>
      </c>
      <c r="G539" s="11"/>
      <c r="H539" s="11"/>
      <c r="I539" s="13">
        <v>0</v>
      </c>
      <c r="J539" s="13">
        <v>0</v>
      </c>
      <c r="K539" s="14" t="str">
        <f>HYPERLINK("https://mobile.twitter.com","Twitter Lite")</f>
        <v>Twitter Lite</v>
      </c>
      <c r="L539" s="13">
        <v>66</v>
      </c>
      <c r="M539" s="13">
        <v>89</v>
      </c>
      <c r="N539" s="13">
        <v>0</v>
      </c>
      <c r="O539" s="15"/>
      <c r="P539" s="6">
        <v>42506.738622685181</v>
      </c>
      <c r="Q539" s="11"/>
      <c r="R539" s="17"/>
      <c r="S539" s="11"/>
      <c r="T539" s="11"/>
      <c r="U539" s="10" t="str">
        <f>HYPERLINK("https://pbs.twimg.com/profile_images/917068775052193798/Lo0T511r.jpg","View")</f>
        <v>View</v>
      </c>
    </row>
    <row r="540" spans="1:21" ht="51">
      <c r="A540" s="6">
        <v>43442.368472222224</v>
      </c>
      <c r="B540" s="7" t="str">
        <f>HYPERLINK("https://twitter.com/pradoazul","@pradoazul")</f>
        <v>@pradoazul</v>
      </c>
      <c r="C540" s="8" t="s">
        <v>3495</v>
      </c>
      <c r="D540" s="9" t="s">
        <v>3496</v>
      </c>
      <c r="E540" s="10" t="str">
        <f>HYPERLINK("https://twitter.com/pradoazul/status/1071311066381123584","1071311066381123584")</f>
        <v>1071311066381123584</v>
      </c>
      <c r="F540" s="12" t="s">
        <v>1375</v>
      </c>
      <c r="G540" s="12" t="s">
        <v>1376</v>
      </c>
      <c r="H540" s="11"/>
      <c r="I540" s="13">
        <v>0</v>
      </c>
      <c r="J540" s="13">
        <v>1</v>
      </c>
      <c r="K540" s="14" t="str">
        <f>HYPERLINK("http://twitter.com","Twitter Web Client")</f>
        <v>Twitter Web Client</v>
      </c>
      <c r="L540" s="13">
        <v>1405</v>
      </c>
      <c r="M540" s="13">
        <v>1777</v>
      </c>
      <c r="N540" s="13">
        <v>11</v>
      </c>
      <c r="O540" s="15"/>
      <c r="P540" s="6">
        <v>41230.977372685185</v>
      </c>
      <c r="Q540" s="18" t="s">
        <v>173</v>
      </c>
      <c r="R540" s="19" t="s">
        <v>3500</v>
      </c>
      <c r="S540" s="11"/>
      <c r="T540" s="11"/>
      <c r="U540" s="10" t="str">
        <f>HYPERLINK("https://pbs.twimg.com/profile_images/914062130776854528/FtF70sDW.jpg","View")</f>
        <v>View</v>
      </c>
    </row>
    <row r="541" spans="1:21" ht="51">
      <c r="A541" s="6">
        <v>43442.367650462962</v>
      </c>
      <c r="B541" s="7" t="str">
        <f>HYPERLINK("https://twitter.com/Ojiplatico2018","@Ojiplatico2018")</f>
        <v>@Ojiplatico2018</v>
      </c>
      <c r="C541" s="8" t="s">
        <v>1092</v>
      </c>
      <c r="D541" s="9" t="s">
        <v>1093</v>
      </c>
      <c r="E541" s="10" t="str">
        <f>HYPERLINK("https://twitter.com/Ojiplatico2018/status/1071310767071395840","1071310767071395840")</f>
        <v>1071310767071395840</v>
      </c>
      <c r="F541" s="12" t="s">
        <v>800</v>
      </c>
      <c r="G541" s="12" t="s">
        <v>801</v>
      </c>
      <c r="H541" s="11"/>
      <c r="I541" s="13">
        <v>1</v>
      </c>
      <c r="J541" s="13">
        <v>3</v>
      </c>
      <c r="K541" s="14" t="str">
        <f t="shared" ref="K541:K542" si="101">HYPERLINK("http://twitter.com/download/android","Twitter for Android")</f>
        <v>Twitter for Android</v>
      </c>
      <c r="L541" s="13">
        <v>447</v>
      </c>
      <c r="M541" s="13">
        <v>487</v>
      </c>
      <c r="N541" s="13">
        <v>2</v>
      </c>
      <c r="O541" s="15"/>
      <c r="P541" s="6">
        <v>43208.61518518519</v>
      </c>
      <c r="Q541" s="11"/>
      <c r="R541" s="19" t="s">
        <v>1095</v>
      </c>
      <c r="S541" s="11"/>
      <c r="T541" s="11"/>
      <c r="U541" s="10" t="str">
        <f>HYPERLINK("https://pbs.twimg.com/profile_images/986589222269280256/MZfsDuMx.jpg","View")</f>
        <v>View</v>
      </c>
    </row>
    <row r="542" spans="1:21" ht="40.799999999999997">
      <c r="A542" s="6">
        <v>43442.367222222223</v>
      </c>
      <c r="B542" s="7" t="str">
        <f>HYPERLINK("https://twitter.com/tonigruiz","@tonigruiz")</f>
        <v>@tonigruiz</v>
      </c>
      <c r="C542" s="8" t="s">
        <v>1098</v>
      </c>
      <c r="D542" s="9" t="s">
        <v>1099</v>
      </c>
      <c r="E542" s="10" t="str">
        <f>HYPERLINK("https://twitter.com/tonigruiz/status/1071310613316595714","1071310613316595714")</f>
        <v>1071310613316595714</v>
      </c>
      <c r="F542" s="11"/>
      <c r="G542" s="11"/>
      <c r="H542" s="11"/>
      <c r="I542" s="13">
        <v>0</v>
      </c>
      <c r="J542" s="13">
        <v>0</v>
      </c>
      <c r="K542" s="14" t="str">
        <f t="shared" si="101"/>
        <v>Twitter for Android</v>
      </c>
      <c r="L542" s="13">
        <v>6</v>
      </c>
      <c r="M542" s="13">
        <v>120</v>
      </c>
      <c r="N542" s="13">
        <v>0</v>
      </c>
      <c r="O542" s="15"/>
      <c r="P542" s="6">
        <v>43416.715601851851</v>
      </c>
      <c r="Q542" s="18" t="s">
        <v>1102</v>
      </c>
      <c r="R542" s="19" t="s">
        <v>1103</v>
      </c>
      <c r="S542" s="11"/>
      <c r="T542" s="11"/>
      <c r="U542" s="10" t="str">
        <f>HYPERLINK("https://pbs.twimg.com/profile_images/1070941048782946304/8IiKGd0x.jpg","View")</f>
        <v>View</v>
      </c>
    </row>
    <row r="543" spans="1:21" ht="40.799999999999997">
      <c r="A543" s="6">
        <v>43442.366886574076</v>
      </c>
      <c r="B543" s="7" t="str">
        <f>HYPERLINK("https://twitter.com/VitoFibonacci","@VitoFibonacci")</f>
        <v>@VitoFibonacci</v>
      </c>
      <c r="C543" s="8" t="s">
        <v>1104</v>
      </c>
      <c r="D543" s="9" t="s">
        <v>1105</v>
      </c>
      <c r="E543" s="10" t="str">
        <f>HYPERLINK("https://twitter.com/VitoFibonacci/status/1071310488695382016","1071310488695382016")</f>
        <v>1071310488695382016</v>
      </c>
      <c r="F543" s="11"/>
      <c r="G543" s="11"/>
      <c r="H543" s="11"/>
      <c r="I543" s="13">
        <v>0</v>
      </c>
      <c r="J543" s="13">
        <v>0</v>
      </c>
      <c r="K543" s="14" t="str">
        <f>HYPERLINK("http://twitter.com","Twitter Web Client")</f>
        <v>Twitter Web Client</v>
      </c>
      <c r="L543" s="13">
        <v>555</v>
      </c>
      <c r="M543" s="13">
        <v>851</v>
      </c>
      <c r="N543" s="13">
        <v>0</v>
      </c>
      <c r="O543" s="15"/>
      <c r="P543" s="6">
        <v>43349.742766203708</v>
      </c>
      <c r="Q543" s="11"/>
      <c r="R543" s="19" t="s">
        <v>1106</v>
      </c>
      <c r="S543" s="11"/>
      <c r="T543" s="11"/>
      <c r="U543" s="10" t="str">
        <f>HYPERLINK("https://pbs.twimg.com/profile_images/1037874477483401217/WJMmab0i.jpg","View")</f>
        <v>View</v>
      </c>
    </row>
    <row r="544" spans="1:21" ht="20.399999999999999">
      <c r="A544" s="6">
        <v>43442.365706018521</v>
      </c>
      <c r="B544" s="7" t="str">
        <f>HYPERLINK("https://twitter.com/merianmi","@merianmi")</f>
        <v>@merianmi</v>
      </c>
      <c r="C544" s="8" t="s">
        <v>3337</v>
      </c>
      <c r="D544" s="9" t="s">
        <v>1441</v>
      </c>
      <c r="E544" s="10" t="str">
        <f>HYPERLINK("https://twitter.com/merianmi/status/1071310062084386816","1071310062084386816")</f>
        <v>1071310062084386816</v>
      </c>
      <c r="F544" s="12" t="s">
        <v>1443</v>
      </c>
      <c r="G544" s="11"/>
      <c r="H544" s="11"/>
      <c r="I544" s="13">
        <v>0</v>
      </c>
      <c r="J544" s="13">
        <v>0</v>
      </c>
      <c r="K544" s="14" t="str">
        <f>HYPERLINK("https://www.google.com/","Google")</f>
        <v>Google</v>
      </c>
      <c r="L544" s="13">
        <v>1032</v>
      </c>
      <c r="M544" s="13">
        <v>1920</v>
      </c>
      <c r="N544" s="13">
        <v>24</v>
      </c>
      <c r="O544" s="15"/>
      <c r="P544" s="6">
        <v>40169.857233796298</v>
      </c>
      <c r="Q544" s="18" t="s">
        <v>3340</v>
      </c>
      <c r="R544" s="19" t="s">
        <v>3341</v>
      </c>
      <c r="S544" s="12" t="s">
        <v>3342</v>
      </c>
      <c r="T544" s="11"/>
      <c r="U544" s="10" t="str">
        <f>HYPERLINK("https://pbs.twimg.com/profile_images/854401811830251521/dIYzgtDT.jpg","View")</f>
        <v>View</v>
      </c>
    </row>
    <row r="545" spans="1:21" ht="13.2">
      <c r="A545" s="6">
        <v>43442.362974537042</v>
      </c>
      <c r="B545" s="7" t="str">
        <f>HYPERLINK("https://twitter.com/glinares16","@glinares16")</f>
        <v>@glinares16</v>
      </c>
      <c r="C545" s="8" t="s">
        <v>3519</v>
      </c>
      <c r="D545" s="9" t="s">
        <v>3520</v>
      </c>
      <c r="E545" s="10" t="str">
        <f>HYPERLINK("https://twitter.com/glinares16/status/1071309071444262912","1071309071444262912")</f>
        <v>1071309071444262912</v>
      </c>
      <c r="F545" s="11"/>
      <c r="G545" s="11"/>
      <c r="H545" s="11"/>
      <c r="I545" s="13">
        <v>0</v>
      </c>
      <c r="J545" s="13">
        <v>0</v>
      </c>
      <c r="K545" s="14" t="str">
        <f t="shared" ref="K545:K546" si="102">HYPERLINK("http://www.facebook.com/twitter","Facebook")</f>
        <v>Facebook</v>
      </c>
      <c r="L545" s="13">
        <v>255</v>
      </c>
      <c r="M545" s="13">
        <v>1089</v>
      </c>
      <c r="N545" s="13">
        <v>0</v>
      </c>
      <c r="O545" s="15"/>
      <c r="P545" s="6">
        <v>41873.407800925925</v>
      </c>
      <c r="Q545" s="11"/>
      <c r="R545" s="17"/>
      <c r="S545" s="11"/>
      <c r="T545" s="11"/>
      <c r="U545" s="16" t="s">
        <v>191</v>
      </c>
    </row>
    <row r="546" spans="1:21" ht="40.799999999999997">
      <c r="A546" s="6">
        <v>43442.362500000003</v>
      </c>
      <c r="B546" s="7" t="str">
        <f>HYPERLINK("https://twitter.com/LUISJORDAN1959","@LUISJORDAN1959")</f>
        <v>@LUISJORDAN1959</v>
      </c>
      <c r="C546" s="8" t="s">
        <v>32</v>
      </c>
      <c r="D546" s="9" t="s">
        <v>3525</v>
      </c>
      <c r="E546" s="10" t="str">
        <f>HYPERLINK("https://twitter.com/LUISJORDAN1959/status/1071308898592800768","1071308898592800768")</f>
        <v>1071308898592800768</v>
      </c>
      <c r="F546" s="12" t="s">
        <v>290</v>
      </c>
      <c r="G546" s="11"/>
      <c r="H546" s="11"/>
      <c r="I546" s="13">
        <v>0</v>
      </c>
      <c r="J546" s="13">
        <v>0</v>
      </c>
      <c r="K546" s="14" t="str">
        <f t="shared" si="102"/>
        <v>Facebook</v>
      </c>
      <c r="L546" s="13">
        <v>1165</v>
      </c>
      <c r="M546" s="13">
        <v>1930</v>
      </c>
      <c r="N546" s="13">
        <v>40</v>
      </c>
      <c r="O546" s="15"/>
      <c r="P546" s="6">
        <v>40044.836388888885</v>
      </c>
      <c r="Q546" s="18" t="s">
        <v>35</v>
      </c>
      <c r="R546" s="19" t="s">
        <v>36</v>
      </c>
      <c r="S546" s="12" t="s">
        <v>37</v>
      </c>
      <c r="T546" s="11"/>
      <c r="U546" s="10" t="str">
        <f>HYPERLINK("https://pbs.twimg.com/profile_images/410975084/LUIS.jpg","View")</f>
        <v>View</v>
      </c>
    </row>
    <row r="547" spans="1:21" ht="30.6">
      <c r="A547" s="6">
        <v>43442.358981481477</v>
      </c>
      <c r="B547" s="7" t="str">
        <f>HYPERLINK("https://twitter.com/Mariadetabarnia","@Mariadetabarnia")</f>
        <v>@Mariadetabarnia</v>
      </c>
      <c r="C547" s="8" t="s">
        <v>3530</v>
      </c>
      <c r="D547" s="9" t="s">
        <v>279</v>
      </c>
      <c r="E547" s="10" t="str">
        <f>HYPERLINK("https://twitter.com/Mariadetabarnia/status/1071307627198668800","1071307627198668800")</f>
        <v>1071307627198668800</v>
      </c>
      <c r="F547" s="12" t="s">
        <v>280</v>
      </c>
      <c r="G547" s="11"/>
      <c r="H547" s="11"/>
      <c r="I547" s="13">
        <v>0</v>
      </c>
      <c r="J547" s="13">
        <v>0</v>
      </c>
      <c r="K547" s="14" t="str">
        <f t="shared" ref="K547:K550" si="103">HYPERLINK("http://twitter.com/download/android","Twitter for Android")</f>
        <v>Twitter for Android</v>
      </c>
      <c r="L547" s="13">
        <v>168</v>
      </c>
      <c r="M547" s="13">
        <v>22</v>
      </c>
      <c r="N547" s="13">
        <v>0</v>
      </c>
      <c r="O547" s="15"/>
      <c r="P547" s="6">
        <v>40439.982129629629</v>
      </c>
      <c r="Q547" s="11"/>
      <c r="R547" s="19" t="s">
        <v>3536</v>
      </c>
      <c r="S547" s="11"/>
      <c r="T547" s="11"/>
      <c r="U547" s="10" t="str">
        <f>HYPERLINK("https://pbs.twimg.com/profile_images/1029418929091997701/X8joQICH.jpg","View")</f>
        <v>View</v>
      </c>
    </row>
    <row r="548" spans="1:21" ht="40.799999999999997">
      <c r="A548" s="6">
        <v>43442.356469907405</v>
      </c>
      <c r="B548" s="7" t="str">
        <f>HYPERLINK("https://twitter.com/masuarez60","@masuarez60")</f>
        <v>@masuarez60</v>
      </c>
      <c r="C548" s="8" t="s">
        <v>3538</v>
      </c>
      <c r="D548" s="9" t="s">
        <v>3540</v>
      </c>
      <c r="E548" s="10" t="str">
        <f>HYPERLINK("https://twitter.com/masuarez60/status/1071306716355145728","1071306716355145728")</f>
        <v>1071306716355145728</v>
      </c>
      <c r="F548" s="12" t="s">
        <v>3541</v>
      </c>
      <c r="G548" s="11"/>
      <c r="H548" s="11"/>
      <c r="I548" s="13">
        <v>0</v>
      </c>
      <c r="J548" s="13">
        <v>0</v>
      </c>
      <c r="K548" s="14" t="str">
        <f t="shared" si="103"/>
        <v>Twitter for Android</v>
      </c>
      <c r="L548" s="13">
        <v>619</v>
      </c>
      <c r="M548" s="13">
        <v>659</v>
      </c>
      <c r="N548" s="13">
        <v>7</v>
      </c>
      <c r="O548" s="15"/>
      <c r="P548" s="6">
        <v>41708.374305555553</v>
      </c>
      <c r="Q548" s="18" t="s">
        <v>3542</v>
      </c>
      <c r="R548" s="19" t="s">
        <v>3543</v>
      </c>
      <c r="S548" s="11"/>
      <c r="T548" s="11"/>
      <c r="U548" s="10" t="str">
        <f>HYPERLINK("https://pbs.twimg.com/profile_images/1058990264352718848/-3jlUeRC.jpg","View")</f>
        <v>View</v>
      </c>
    </row>
    <row r="549" spans="1:21" ht="40.799999999999997">
      <c r="A549" s="6">
        <v>43442.355787037042</v>
      </c>
      <c r="B549" s="7" t="str">
        <f>HYPERLINK("https://twitter.com/Ke_Les_Den","@Ke_Les_Den")</f>
        <v>@Ke_Les_Den</v>
      </c>
      <c r="C549" s="8" t="s">
        <v>925</v>
      </c>
      <c r="D549" s="9" t="s">
        <v>1107</v>
      </c>
      <c r="E549" s="10" t="str">
        <f>HYPERLINK("https://twitter.com/Ke_Les_Den/status/1071306467809079297","1071306467809079297")</f>
        <v>1071306467809079297</v>
      </c>
      <c r="F549" s="12" t="s">
        <v>1109</v>
      </c>
      <c r="G549" s="11"/>
      <c r="H549" s="11"/>
      <c r="I549" s="13">
        <v>4</v>
      </c>
      <c r="J549" s="13">
        <v>8</v>
      </c>
      <c r="K549" s="14" t="str">
        <f t="shared" si="103"/>
        <v>Twitter for Android</v>
      </c>
      <c r="L549" s="13">
        <v>861</v>
      </c>
      <c r="M549" s="13">
        <v>1970</v>
      </c>
      <c r="N549" s="13">
        <v>1</v>
      </c>
      <c r="O549" s="15"/>
      <c r="P549" s="6">
        <v>42849.633483796293</v>
      </c>
      <c r="Q549" s="11"/>
      <c r="R549" s="19" t="s">
        <v>932</v>
      </c>
      <c r="S549" s="11"/>
      <c r="T549" s="11"/>
      <c r="U549" s="10" t="str">
        <f>HYPERLINK("https://pbs.twimg.com/profile_images/856777751755358208/AquT2MXe.jpg","View")</f>
        <v>View</v>
      </c>
    </row>
    <row r="550" spans="1:21" ht="51">
      <c r="A550" s="6">
        <v>43442.353634259256</v>
      </c>
      <c r="B550" s="7" t="str">
        <f>HYPERLINK("https://twitter.com/Econews20","@Econews20")</f>
        <v>@Econews20</v>
      </c>
      <c r="C550" s="8" t="s">
        <v>1110</v>
      </c>
      <c r="D550" s="9" t="s">
        <v>1111</v>
      </c>
      <c r="E550" s="10" t="str">
        <f>HYPERLINK("https://twitter.com/Econews20/status/1071305686863265793","1071305686863265793")</f>
        <v>1071305686863265793</v>
      </c>
      <c r="F550" s="11"/>
      <c r="G550" s="12" t="s">
        <v>1112</v>
      </c>
      <c r="H550" s="11"/>
      <c r="I550" s="13">
        <v>0</v>
      </c>
      <c r="J550" s="13">
        <v>0</v>
      </c>
      <c r="K550" s="14" t="str">
        <f t="shared" si="103"/>
        <v>Twitter for Android</v>
      </c>
      <c r="L550" s="13">
        <v>9</v>
      </c>
      <c r="M550" s="13">
        <v>38</v>
      </c>
      <c r="N550" s="13">
        <v>0</v>
      </c>
      <c r="O550" s="15"/>
      <c r="P550" s="6">
        <v>43417.479166666672</v>
      </c>
      <c r="Q550" s="18" t="s">
        <v>42</v>
      </c>
      <c r="R550" s="19" t="s">
        <v>1113</v>
      </c>
      <c r="S550" s="11"/>
      <c r="T550" s="11"/>
      <c r="U550" s="10" t="str">
        <f>HYPERLINK("https://pbs.twimg.com/profile_images/1062295726632431616/EjZA9lLt.jpg","View")</f>
        <v>View</v>
      </c>
    </row>
    <row r="551" spans="1:21" ht="20.399999999999999">
      <c r="A551" s="6">
        <v>43442.353368055556</v>
      </c>
      <c r="B551" s="7" t="str">
        <f>HYPERLINK("https://twitter.com/Jacobo7elbobo","@Jacobo7elbobo")</f>
        <v>@Jacobo7elbobo</v>
      </c>
      <c r="C551" s="8" t="s">
        <v>147</v>
      </c>
      <c r="D551" s="9" t="s">
        <v>1452</v>
      </c>
      <c r="E551" s="10" t="str">
        <f>HYPERLINK("https://twitter.com/Jacobo7elbobo/status/1071305592097120256","1071305592097120256")</f>
        <v>1071305592097120256</v>
      </c>
      <c r="F551" s="12" t="s">
        <v>296</v>
      </c>
      <c r="G551" s="11"/>
      <c r="H551" s="11"/>
      <c r="I551" s="13">
        <v>1</v>
      </c>
      <c r="J551" s="13">
        <v>2</v>
      </c>
      <c r="K551" s="14" t="str">
        <f t="shared" ref="K551:K552" si="104">HYPERLINK("http://twitter.com","Twitter Web Client")</f>
        <v>Twitter Web Client</v>
      </c>
      <c r="L551" s="13">
        <v>5561</v>
      </c>
      <c r="M551" s="13">
        <v>5286</v>
      </c>
      <c r="N551" s="13">
        <v>8</v>
      </c>
      <c r="O551" s="15"/>
      <c r="P551" s="6">
        <v>42315.993460648147</v>
      </c>
      <c r="Q551" s="18" t="s">
        <v>152</v>
      </c>
      <c r="R551" s="19" t="s">
        <v>153</v>
      </c>
      <c r="S551" s="11"/>
      <c r="T551" s="11"/>
      <c r="U551" s="10" t="str">
        <f>HYPERLINK("https://pbs.twimg.com/profile_images/972809079289675776/alLBdem6.jpg","View")</f>
        <v>View</v>
      </c>
    </row>
    <row r="552" spans="1:21" ht="51">
      <c r="A552" s="6">
        <v>43442.352696759262</v>
      </c>
      <c r="B552" s="7" t="str">
        <f>HYPERLINK("https://twitter.com/Lacasitos985","@Lacasitos985")</f>
        <v>@Lacasitos985</v>
      </c>
      <c r="C552" s="8" t="s">
        <v>3553</v>
      </c>
      <c r="D552" s="9" t="s">
        <v>3554</v>
      </c>
      <c r="E552" s="10" t="str">
        <f>HYPERLINK("https://twitter.com/Lacasitos985/status/1071305346709422080","1071305346709422080")</f>
        <v>1071305346709422080</v>
      </c>
      <c r="F552" s="12" t="s">
        <v>3557</v>
      </c>
      <c r="G552" s="11"/>
      <c r="H552" s="11"/>
      <c r="I552" s="13">
        <v>0</v>
      </c>
      <c r="J552" s="13">
        <v>0</v>
      </c>
      <c r="K552" s="14" t="str">
        <f t="shared" si="104"/>
        <v>Twitter Web Client</v>
      </c>
      <c r="L552" s="13">
        <v>1231</v>
      </c>
      <c r="M552" s="13">
        <v>941</v>
      </c>
      <c r="N552" s="13">
        <v>4</v>
      </c>
      <c r="O552" s="15"/>
      <c r="P552" s="6">
        <v>42986.72111111111</v>
      </c>
      <c r="Q552" s="18" t="s">
        <v>192</v>
      </c>
      <c r="R552" s="19" t="s">
        <v>3558</v>
      </c>
      <c r="S552" s="11"/>
      <c r="T552" s="11"/>
      <c r="U552" s="10" t="str">
        <f>HYPERLINK("https://pbs.twimg.com/profile_images/1048273078835404803/X2AX6MO3.jpg","View")</f>
        <v>View</v>
      </c>
    </row>
    <row r="553" spans="1:21" ht="30.6">
      <c r="A553" s="6">
        <v>43442.352326388893</v>
      </c>
      <c r="B553" s="7" t="str">
        <f>HYPERLINK("https://twitter.com/jmedinarevuelta","@jmedinarevuelta")</f>
        <v>@jmedinarevuelta</v>
      </c>
      <c r="C553" s="8" t="s">
        <v>1115</v>
      </c>
      <c r="D553" s="9" t="s">
        <v>1116</v>
      </c>
      <c r="E553" s="10" t="str">
        <f>HYPERLINK("https://twitter.com/jmedinarevuelta/status/1071305215159267328","1071305215159267328")</f>
        <v>1071305215159267328</v>
      </c>
      <c r="F553" s="12" t="s">
        <v>1120</v>
      </c>
      <c r="G553" s="11"/>
      <c r="H553" s="11"/>
      <c r="I553" s="13">
        <v>0</v>
      </c>
      <c r="J553" s="13">
        <v>0</v>
      </c>
      <c r="K553" s="14" t="str">
        <f>HYPERLINK("http://twitter.com/download/iphone","Twitter for iPhone")</f>
        <v>Twitter for iPhone</v>
      </c>
      <c r="L553" s="13">
        <v>338</v>
      </c>
      <c r="M553" s="13">
        <v>861</v>
      </c>
      <c r="N553" s="13">
        <v>7</v>
      </c>
      <c r="O553" s="15"/>
      <c r="P553" s="6">
        <v>40790.806527777779</v>
      </c>
      <c r="Q553" s="18" t="s">
        <v>260</v>
      </c>
      <c r="R553" s="19" t="s">
        <v>1121</v>
      </c>
      <c r="S553" s="11"/>
      <c r="T553" s="11"/>
      <c r="U553" s="10" t="str">
        <f>HYPERLINK("https://pbs.twimg.com/profile_images/914978365098033157/235p7Cfl.jpg","View")</f>
        <v>View</v>
      </c>
    </row>
    <row r="554" spans="1:21" ht="51">
      <c r="A554" s="6">
        <v>43442.352048611108</v>
      </c>
      <c r="B554" s="7" t="str">
        <f>HYPERLINK("https://twitter.com/Ke_Les_Den","@Ke_Les_Den")</f>
        <v>@Ke_Les_Den</v>
      </c>
      <c r="C554" s="8" t="s">
        <v>925</v>
      </c>
      <c r="D554" s="9" t="s">
        <v>1124</v>
      </c>
      <c r="E554" s="10" t="str">
        <f>HYPERLINK("https://twitter.com/Ke_Les_Den/status/1071305111719305218","1071305111719305218")</f>
        <v>1071305111719305218</v>
      </c>
      <c r="F554" s="12" t="s">
        <v>913</v>
      </c>
      <c r="G554" s="12" t="s">
        <v>914</v>
      </c>
      <c r="H554" s="11"/>
      <c r="I554" s="13">
        <v>14</v>
      </c>
      <c r="J554" s="13">
        <v>26</v>
      </c>
      <c r="K554" s="14" t="str">
        <f>HYPERLINK("http://twitter.com/download/android","Twitter for Android")</f>
        <v>Twitter for Android</v>
      </c>
      <c r="L554" s="13">
        <v>861</v>
      </c>
      <c r="M554" s="13">
        <v>1970</v>
      </c>
      <c r="N554" s="13">
        <v>1</v>
      </c>
      <c r="O554" s="15"/>
      <c r="P554" s="6">
        <v>42849.633483796293</v>
      </c>
      <c r="Q554" s="11"/>
      <c r="R554" s="19" t="s">
        <v>932</v>
      </c>
      <c r="S554" s="11"/>
      <c r="T554" s="11"/>
      <c r="U554" s="10" t="str">
        <f>HYPERLINK("https://pbs.twimg.com/profile_images/856777751755358208/AquT2MXe.jpg","View")</f>
        <v>View</v>
      </c>
    </row>
    <row r="555" spans="1:21" ht="40.799999999999997">
      <c r="A555" s="6">
        <v>43442.352013888885</v>
      </c>
      <c r="B555" s="7" t="str">
        <f>HYPERLINK("https://twitter.com/Aquella_Patata","@Aquella_Patata")</f>
        <v>@Aquella_Patata</v>
      </c>
      <c r="C555" s="8" t="s">
        <v>3570</v>
      </c>
      <c r="D555" s="9" t="s">
        <v>3571</v>
      </c>
      <c r="E555" s="10" t="str">
        <f>HYPERLINK("https://twitter.com/Aquella_Patata/status/1071305098746306561","1071305098746306561")</f>
        <v>1071305098746306561</v>
      </c>
      <c r="F555" s="12" t="s">
        <v>3573</v>
      </c>
      <c r="G555" s="12" t="s">
        <v>3574</v>
      </c>
      <c r="H555" s="11"/>
      <c r="I555" s="13">
        <v>0</v>
      </c>
      <c r="J555" s="13">
        <v>0</v>
      </c>
      <c r="K555" s="14" t="str">
        <f>HYPERLINK("http://twitter.com","Twitter Web Client")</f>
        <v>Twitter Web Client</v>
      </c>
      <c r="L555" s="13">
        <v>438</v>
      </c>
      <c r="M555" s="13">
        <v>708</v>
      </c>
      <c r="N555" s="13">
        <v>8</v>
      </c>
      <c r="O555" s="15"/>
      <c r="P555" s="6">
        <v>40059.718692129631</v>
      </c>
      <c r="Q555" s="18" t="s">
        <v>3575</v>
      </c>
      <c r="R555" s="19" t="s">
        <v>3576</v>
      </c>
      <c r="S555" s="12" t="s">
        <v>3577</v>
      </c>
      <c r="T555" s="11"/>
      <c r="U555" s="10" t="str">
        <f>HYPERLINK("https://pbs.twimg.com/profile_images/813041673299197953/4mjR1ATs.jpg","View")</f>
        <v>View</v>
      </c>
    </row>
    <row r="556" spans="1:21" ht="20.399999999999999">
      <c r="A556" s="6">
        <v>43442.351840277777</v>
      </c>
      <c r="B556" s="7" t="str">
        <f>HYPERLINK("https://twitter.com/BellochAlberto","@BellochAlberto")</f>
        <v>@BellochAlberto</v>
      </c>
      <c r="C556" s="8" t="s">
        <v>3578</v>
      </c>
      <c r="D556" s="9" t="s">
        <v>3579</v>
      </c>
      <c r="E556" s="10" t="str">
        <f>HYPERLINK("https://twitter.com/BellochAlberto/status/1071305038776201218","1071305038776201218")</f>
        <v>1071305038776201218</v>
      </c>
      <c r="F556" s="12" t="s">
        <v>290</v>
      </c>
      <c r="G556" s="11"/>
      <c r="H556" s="11"/>
      <c r="I556" s="13">
        <v>0</v>
      </c>
      <c r="J556" s="13">
        <v>0</v>
      </c>
      <c r="K556" s="14" t="str">
        <f t="shared" ref="K556:K558" si="105">HYPERLINK("http://twitter.com/download/android","Twitter for Android")</f>
        <v>Twitter for Android</v>
      </c>
      <c r="L556" s="13">
        <v>92</v>
      </c>
      <c r="M556" s="13">
        <v>42</v>
      </c>
      <c r="N556" s="13">
        <v>1</v>
      </c>
      <c r="O556" s="15"/>
      <c r="P556" s="6">
        <v>43084.125231481477</v>
      </c>
      <c r="Q556" s="18" t="s">
        <v>467</v>
      </c>
      <c r="R556" s="19" t="s">
        <v>3581</v>
      </c>
      <c r="S556" s="11"/>
      <c r="T556" s="11"/>
      <c r="U556" s="10" t="str">
        <f>HYPERLINK("https://pbs.twimg.com/profile_images/1013059523572060161/DKBcgJgm.jpg","View")</f>
        <v>View</v>
      </c>
    </row>
    <row r="557" spans="1:21" ht="30.6">
      <c r="A557" s="6">
        <v>43442.348622685182</v>
      </c>
      <c r="B557" s="7" t="str">
        <f>HYPERLINK("https://twitter.com/eRCotilla","@eRCotilla")</f>
        <v>@eRCotilla</v>
      </c>
      <c r="C557" s="8" t="s">
        <v>3582</v>
      </c>
      <c r="D557" s="9" t="s">
        <v>3583</v>
      </c>
      <c r="E557" s="10" t="str">
        <f>HYPERLINK("https://twitter.com/eRCotilla/status/1071303870519918592","1071303870519918592")</f>
        <v>1071303870519918592</v>
      </c>
      <c r="F557" s="12" t="s">
        <v>3584</v>
      </c>
      <c r="G557" s="12" t="s">
        <v>3585</v>
      </c>
      <c r="H557" s="11"/>
      <c r="I557" s="13">
        <v>0</v>
      </c>
      <c r="J557" s="13">
        <v>0</v>
      </c>
      <c r="K557" s="14" t="str">
        <f t="shared" si="105"/>
        <v>Twitter for Android</v>
      </c>
      <c r="L557" s="13">
        <v>222</v>
      </c>
      <c r="M557" s="13">
        <v>169</v>
      </c>
      <c r="N557" s="13">
        <v>5</v>
      </c>
      <c r="O557" s="15"/>
      <c r="P557" s="6">
        <v>41553.380069444444</v>
      </c>
      <c r="Q557" s="18" t="s">
        <v>42</v>
      </c>
      <c r="R557" s="19" t="s">
        <v>3588</v>
      </c>
      <c r="S557" s="11"/>
      <c r="T557" s="11"/>
      <c r="U557" s="10" t="str">
        <f>HYPERLINK("https://pbs.twimg.com/profile_images/1066120081816633346/HI3vJ61A.jpg","View")</f>
        <v>View</v>
      </c>
    </row>
    <row r="558" spans="1:21" ht="20.399999999999999">
      <c r="A558" s="6">
        <v>43442.344548611116</v>
      </c>
      <c r="B558" s="7" t="str">
        <f>HYPERLINK("https://twitter.com/___Nazareno___","@___Nazareno___")</f>
        <v>@___Nazareno___</v>
      </c>
      <c r="C558" s="8" t="s">
        <v>3590</v>
      </c>
      <c r="D558" s="9" t="s">
        <v>3591</v>
      </c>
      <c r="E558" s="10" t="str">
        <f>HYPERLINK("https://twitter.com/___Nazareno___/status/1071302395039281153","1071302395039281153")</f>
        <v>1071302395039281153</v>
      </c>
      <c r="F558" s="12" t="s">
        <v>3258</v>
      </c>
      <c r="G558" s="11"/>
      <c r="H558" s="11"/>
      <c r="I558" s="13">
        <v>0</v>
      </c>
      <c r="J558" s="13">
        <v>0</v>
      </c>
      <c r="K558" s="14" t="str">
        <f t="shared" si="105"/>
        <v>Twitter for Android</v>
      </c>
      <c r="L558" s="13">
        <v>187</v>
      </c>
      <c r="M558" s="13">
        <v>398</v>
      </c>
      <c r="N558" s="13">
        <v>2</v>
      </c>
      <c r="O558" s="15"/>
      <c r="P558" s="6">
        <v>40476.954664351855</v>
      </c>
      <c r="Q558" s="11"/>
      <c r="R558" s="19" t="s">
        <v>3593</v>
      </c>
      <c r="S558" s="12" t="s">
        <v>3594</v>
      </c>
      <c r="T558" s="11"/>
      <c r="U558" s="10" t="str">
        <f>HYPERLINK("https://pbs.twimg.com/profile_images/945718120592957440/pODZOJ2q.jpg","View")</f>
        <v>View</v>
      </c>
    </row>
    <row r="559" spans="1:21" ht="40.799999999999997">
      <c r="A559" s="6">
        <v>43442.34375</v>
      </c>
      <c r="B559" s="7" t="str">
        <f>HYPERLINK("https://twitter.com/jemahuja","@jemahuja")</f>
        <v>@jemahuja</v>
      </c>
      <c r="C559" s="8" t="s">
        <v>2327</v>
      </c>
      <c r="D559" s="9" t="s">
        <v>3597</v>
      </c>
      <c r="E559" s="10" t="str">
        <f>HYPERLINK("https://twitter.com/jemahuja/status/1071302103778422784","1071302103778422784")</f>
        <v>1071302103778422784</v>
      </c>
      <c r="F559" s="12" t="s">
        <v>3598</v>
      </c>
      <c r="G559" s="11"/>
      <c r="H559" s="11"/>
      <c r="I559" s="13">
        <v>0</v>
      </c>
      <c r="J559" s="13">
        <v>0</v>
      </c>
      <c r="K559" s="14" t="str">
        <f>HYPERLINK("http://www.facebook.com/twitter","Facebook")</f>
        <v>Facebook</v>
      </c>
      <c r="L559" s="13">
        <v>4865</v>
      </c>
      <c r="M559" s="13">
        <v>5077</v>
      </c>
      <c r="N559" s="13">
        <v>69</v>
      </c>
      <c r="O559" s="15"/>
      <c r="P559" s="6">
        <v>40624.647256944445</v>
      </c>
      <c r="Q559" s="11"/>
      <c r="R559" s="19" t="s">
        <v>2329</v>
      </c>
      <c r="S559" s="12" t="s">
        <v>2330</v>
      </c>
      <c r="T559" s="11"/>
      <c r="U559" s="10" t="str">
        <f>HYPERLINK("https://pbs.twimg.com/profile_images/979014863442907137/Qus9jozf.jpg","View")</f>
        <v>View</v>
      </c>
    </row>
    <row r="560" spans="1:21" ht="40.799999999999997">
      <c r="A560" s="6">
        <v>43442.341249999998</v>
      </c>
      <c r="B560" s="7" t="str">
        <f>HYPERLINK("https://twitter.com/Velherro","@Velherro")</f>
        <v>@Velherro</v>
      </c>
      <c r="C560" s="8" t="s">
        <v>943</v>
      </c>
      <c r="D560" s="9" t="s">
        <v>3600</v>
      </c>
      <c r="E560" s="10" t="str">
        <f>HYPERLINK("https://twitter.com/Velherro/status/1071301201868791809","1071301201868791809")</f>
        <v>1071301201868791809</v>
      </c>
      <c r="F560" s="11"/>
      <c r="G560" s="12" t="s">
        <v>3601</v>
      </c>
      <c r="H560" s="11"/>
      <c r="I560" s="13">
        <v>79</v>
      </c>
      <c r="J560" s="13">
        <v>82</v>
      </c>
      <c r="K560" s="14" t="str">
        <f>HYPERLINK("http://twitter.com/download/iphone","Twitter for iPhone")</f>
        <v>Twitter for iPhone</v>
      </c>
      <c r="L560" s="13">
        <v>4967</v>
      </c>
      <c r="M560" s="13">
        <v>3469</v>
      </c>
      <c r="N560" s="13">
        <v>33</v>
      </c>
      <c r="O560" s="15"/>
      <c r="P560" s="6">
        <v>40784.657280092593</v>
      </c>
      <c r="Q560" s="11"/>
      <c r="R560" s="19" t="s">
        <v>948</v>
      </c>
      <c r="S560" s="11"/>
      <c r="T560" s="11"/>
      <c r="U560" s="10" t="str">
        <f>HYPERLINK("https://pbs.twimg.com/profile_images/1066821980748435457/yL5TzB_F.jpg","View")</f>
        <v>View</v>
      </c>
    </row>
    <row r="561" spans="1:21" ht="51">
      <c r="A561" s="6">
        <v>43442.337905092594</v>
      </c>
      <c r="B561" s="7" t="str">
        <f>HYPERLINK("https://twitter.com/trendinaliaES","@trendinaliaES")</f>
        <v>@trendinaliaES</v>
      </c>
      <c r="C561" s="8" t="s">
        <v>1128</v>
      </c>
      <c r="D561" s="9" t="s">
        <v>1129</v>
      </c>
      <c r="E561" s="10" t="str">
        <f>HYPERLINK("https://twitter.com/trendinaliaES/status/1071299988532060161","1071299988532060161")</f>
        <v>1071299988532060161</v>
      </c>
      <c r="F561" s="12" t="s">
        <v>1130</v>
      </c>
      <c r="G561" s="11"/>
      <c r="H561" s="11" t="str">
        <f>HYPERLINK("https://ctrlq.org/maps/address/#40.4203,-3.7058","Map")</f>
        <v>Map</v>
      </c>
      <c r="I561" s="13">
        <v>0</v>
      </c>
      <c r="J561" s="13">
        <v>0</v>
      </c>
      <c r="K561" s="14" t="str">
        <f>HYPERLINK("http://laconversa.com","Es Tendencia en España")</f>
        <v>Es Tendencia en España</v>
      </c>
      <c r="L561" s="13">
        <v>49257</v>
      </c>
      <c r="M561" s="13">
        <v>34</v>
      </c>
      <c r="N561" s="13">
        <v>722</v>
      </c>
      <c r="O561" s="16" t="s">
        <v>25</v>
      </c>
      <c r="P561" s="6">
        <v>41319.819074074076</v>
      </c>
      <c r="Q561" s="18" t="s">
        <v>42</v>
      </c>
      <c r="R561" s="19" t="s">
        <v>1131</v>
      </c>
      <c r="S561" s="12" t="s">
        <v>1132</v>
      </c>
      <c r="T561" s="11"/>
      <c r="U561" s="10" t="str">
        <f>HYPERLINK("https://pbs.twimg.com/profile_images/696485210821632000/xpdMQ_mE.png","View")</f>
        <v>View</v>
      </c>
    </row>
    <row r="562" spans="1:21" ht="20.399999999999999">
      <c r="A562" s="6">
        <v>43442.334699074076</v>
      </c>
      <c r="B562" s="7" t="str">
        <f>HYPERLINK("https://twitter.com/estea76","@estea76")</f>
        <v>@estea76</v>
      </c>
      <c r="C562" s="8" t="s">
        <v>1133</v>
      </c>
      <c r="D562" s="9" t="s">
        <v>1134</v>
      </c>
      <c r="E562" s="10" t="str">
        <f>HYPERLINK("https://twitter.com/estea76/status/1071298825292312576","1071298825292312576")</f>
        <v>1071298825292312576</v>
      </c>
      <c r="F562" s="11"/>
      <c r="G562" s="12" t="s">
        <v>1135</v>
      </c>
      <c r="H562" s="11"/>
      <c r="I562" s="13">
        <v>0</v>
      </c>
      <c r="J562" s="13">
        <v>0</v>
      </c>
      <c r="K562" s="14" t="str">
        <f>HYPERLINK("http://twitter.com/download/iphone","Twitter for iPhone")</f>
        <v>Twitter for iPhone</v>
      </c>
      <c r="L562" s="13">
        <v>319</v>
      </c>
      <c r="M562" s="13">
        <v>1069</v>
      </c>
      <c r="N562" s="13">
        <v>0</v>
      </c>
      <c r="O562" s="15"/>
      <c r="P562" s="6">
        <v>41818.500023148146</v>
      </c>
      <c r="Q562" s="11"/>
      <c r="R562" s="17"/>
      <c r="S562" s="11"/>
      <c r="T562" s="11"/>
      <c r="U562" s="10" t="str">
        <f>HYPERLINK("https://pbs.twimg.com/profile_images/947202202585661440/8ILo4D3p.jpg","View")</f>
        <v>View</v>
      </c>
    </row>
    <row r="563" spans="1:21" ht="30.6">
      <c r="A563" s="6">
        <v>43442.333645833336</v>
      </c>
      <c r="B563" s="7" t="str">
        <f>HYPERLINK("https://twitter.com/debate_es","@debate_es")</f>
        <v>@debate_es</v>
      </c>
      <c r="C563" s="22" t="s">
        <v>1865</v>
      </c>
      <c r="D563" s="9" t="s">
        <v>3618</v>
      </c>
      <c r="E563" s="10" t="str">
        <f>HYPERLINK("https://twitter.com/debate_es/status/1071298444772417536","1071298444772417536")</f>
        <v>1071298444772417536</v>
      </c>
      <c r="F563" s="12" t="s">
        <v>3620</v>
      </c>
      <c r="G563" s="11"/>
      <c r="H563" s="11"/>
      <c r="I563" s="13">
        <v>0</v>
      </c>
      <c r="J563" s="13">
        <v>1</v>
      </c>
      <c r="K563" s="14" t="str">
        <f>HYPERLINK("https://www.hootsuite.com","Hootsuite Inc.")</f>
        <v>Hootsuite Inc.</v>
      </c>
      <c r="L563" s="13">
        <v>1990</v>
      </c>
      <c r="M563" s="13">
        <v>0</v>
      </c>
      <c r="N563" s="13">
        <v>26</v>
      </c>
      <c r="O563" s="15"/>
      <c r="P563" s="6">
        <v>43258.540625000001</v>
      </c>
      <c r="Q563" s="11"/>
      <c r="R563" s="19" t="s">
        <v>1871</v>
      </c>
      <c r="S563" s="12" t="s">
        <v>1872</v>
      </c>
      <c r="T563" s="11"/>
      <c r="U563" s="10" t="str">
        <f>HYPERLINK("https://pbs.twimg.com/profile_images/1022497434029699073/kza_Om7G.jpg","View")</f>
        <v>View</v>
      </c>
    </row>
    <row r="564" spans="1:21" ht="71.400000000000006">
      <c r="A564" s="6">
        <v>43442.333622685182</v>
      </c>
      <c r="B564" s="7" t="str">
        <f>HYPERLINK("https://twitter.com/Dadorelguapo","@Dadorelguapo")</f>
        <v>@Dadorelguapo</v>
      </c>
      <c r="C564" s="8" t="s">
        <v>3622</v>
      </c>
      <c r="D564" s="9" t="s">
        <v>3623</v>
      </c>
      <c r="E564" s="10" t="str">
        <f>HYPERLINK("https://twitter.com/Dadorelguapo/status/1071298434534121472","1071298434534121472")</f>
        <v>1071298434534121472</v>
      </c>
      <c r="F564" s="12" t="s">
        <v>3626</v>
      </c>
      <c r="G564" s="12" t="s">
        <v>3627</v>
      </c>
      <c r="H564" s="11"/>
      <c r="I564" s="13">
        <v>0</v>
      </c>
      <c r="J564" s="13">
        <v>0</v>
      </c>
      <c r="K564" s="14" t="str">
        <f>HYPERLINK("http://twitter.com/download/android","Twitter for Android")</f>
        <v>Twitter for Android</v>
      </c>
      <c r="L564" s="13">
        <v>1541</v>
      </c>
      <c r="M564" s="13">
        <v>1742</v>
      </c>
      <c r="N564" s="13">
        <v>23</v>
      </c>
      <c r="O564" s="15"/>
      <c r="P564" s="6">
        <v>42364.961585648147</v>
      </c>
      <c r="Q564" s="11"/>
      <c r="R564" s="19" t="s">
        <v>3630</v>
      </c>
      <c r="S564" s="11"/>
      <c r="T564" s="11"/>
      <c r="U564" s="10" t="str">
        <f>HYPERLINK("https://pbs.twimg.com/profile_images/1017071201036984320/bPE99XJg.jpg","View")</f>
        <v>View</v>
      </c>
    </row>
    <row r="565" spans="1:21" ht="20.399999999999999">
      <c r="A565" s="6">
        <v>43442.332650462966</v>
      </c>
      <c r="B565" s="7" t="str">
        <f>HYPERLINK("https://twitter.com/periodistadigit","@periodistadigit")</f>
        <v>@periodistadigit</v>
      </c>
      <c r="C565" s="8" t="s">
        <v>317</v>
      </c>
      <c r="D565" s="9" t="s">
        <v>3633</v>
      </c>
      <c r="E565" s="10" t="str">
        <f>HYPERLINK("https://twitter.com/periodistadigit/status/1071298083265359872","1071298083265359872")</f>
        <v>1071298083265359872</v>
      </c>
      <c r="F565" s="12" t="s">
        <v>290</v>
      </c>
      <c r="G565" s="11"/>
      <c r="H565" s="11"/>
      <c r="I565" s="13">
        <v>6</v>
      </c>
      <c r="J565" s="13">
        <v>9</v>
      </c>
      <c r="K565" s="14" t="str">
        <f t="shared" ref="K565:K566" si="106">HYPERLINK("https://about.twitter.com/products/tweetdeck","TweetDeck")</f>
        <v>TweetDeck</v>
      </c>
      <c r="L565" s="13">
        <v>56221</v>
      </c>
      <c r="M565" s="13">
        <v>3786</v>
      </c>
      <c r="N565" s="13">
        <v>1472</v>
      </c>
      <c r="O565" s="16" t="s">
        <v>25</v>
      </c>
      <c r="P565" s="6">
        <v>40084.916296296295</v>
      </c>
      <c r="Q565" s="18" t="s">
        <v>307</v>
      </c>
      <c r="R565" s="19" t="s">
        <v>3635</v>
      </c>
      <c r="S565" s="12" t="s">
        <v>1471</v>
      </c>
      <c r="T565" s="11"/>
      <c r="U565" s="10" t="str">
        <f>HYPERLINK("https://pbs.twimg.com/profile_images/1913331873/periodista-digital.jpg","View")</f>
        <v>View</v>
      </c>
    </row>
    <row r="566" spans="1:21" ht="20.399999999999999">
      <c r="A566" s="6">
        <v>43442.332557870366</v>
      </c>
      <c r="B566" s="7" t="str">
        <f>HYPERLINK("https://twitter.com/juanvelarde72","@juanvelarde72")</f>
        <v>@juanvelarde72</v>
      </c>
      <c r="C566" s="8" t="s">
        <v>2927</v>
      </c>
      <c r="D566" s="9" t="s">
        <v>3633</v>
      </c>
      <c r="E566" s="10" t="str">
        <f>HYPERLINK("https://twitter.com/juanvelarde72/status/1071298051082457088","1071298051082457088")</f>
        <v>1071298051082457088</v>
      </c>
      <c r="F566" s="12" t="s">
        <v>290</v>
      </c>
      <c r="G566" s="11"/>
      <c r="H566" s="11"/>
      <c r="I566" s="13">
        <v>0</v>
      </c>
      <c r="J566" s="13">
        <v>0</v>
      </c>
      <c r="K566" s="14" t="str">
        <f t="shared" si="106"/>
        <v>TweetDeck</v>
      </c>
      <c r="L566" s="13">
        <v>1615</v>
      </c>
      <c r="M566" s="13">
        <v>1596</v>
      </c>
      <c r="N566" s="13">
        <v>22</v>
      </c>
      <c r="O566" s="15"/>
      <c r="P566" s="6">
        <v>42289.95722222222</v>
      </c>
      <c r="Q566" s="18" t="s">
        <v>41</v>
      </c>
      <c r="R566" s="17"/>
      <c r="S566" s="12" t="s">
        <v>2932</v>
      </c>
      <c r="T566" s="11"/>
      <c r="U566" s="10" t="str">
        <f>HYPERLINK("https://pbs.twimg.com/profile_images/1067670079867953153/ZaE5Pz3x.jpg","View")</f>
        <v>View</v>
      </c>
    </row>
    <row r="567" spans="1:21" ht="40.799999999999997">
      <c r="A567" s="6">
        <v>43442.33</v>
      </c>
      <c r="B567" s="7" t="str">
        <f>HYPERLINK("https://twitter.com/NuriaRevolucion","@NuriaRevolucion")</f>
        <v>@NuriaRevolucion</v>
      </c>
      <c r="C567" s="8" t="s">
        <v>3642</v>
      </c>
      <c r="D567" s="9" t="s">
        <v>879</v>
      </c>
      <c r="E567" s="10" t="str">
        <f>HYPERLINK("https://twitter.com/NuriaRevolucion/status/1071297120899162112","1071297120899162112")</f>
        <v>1071297120899162112</v>
      </c>
      <c r="F567" s="12" t="s">
        <v>881</v>
      </c>
      <c r="G567" s="11"/>
      <c r="H567" s="11"/>
      <c r="I567" s="13">
        <v>11</v>
      </c>
      <c r="J567" s="13">
        <v>9</v>
      </c>
      <c r="K567" s="14" t="str">
        <f>HYPERLINK("https://buffer.com","Buffer")</f>
        <v>Buffer</v>
      </c>
      <c r="L567" s="13">
        <v>323</v>
      </c>
      <c r="M567" s="13">
        <v>660</v>
      </c>
      <c r="N567" s="13">
        <v>4</v>
      </c>
      <c r="O567" s="15"/>
      <c r="P567" s="6">
        <v>42556.774155092593</v>
      </c>
      <c r="Q567" s="11"/>
      <c r="R567" s="19" t="s">
        <v>3644</v>
      </c>
      <c r="S567" s="11"/>
      <c r="T567" s="11"/>
      <c r="U567" s="10" t="str">
        <f>HYPERLINK("https://pbs.twimg.com/profile_images/960902908555513858/6Eu1b-ME.jpg","View")</f>
        <v>View</v>
      </c>
    </row>
    <row r="568" spans="1:21" ht="30.6">
      <c r="A568" s="6">
        <v>43442.32612268519</v>
      </c>
      <c r="B568" s="7" t="str">
        <f>HYPERLINK("https://twitter.com/situacionesdifi","@situacionesdifi")</f>
        <v>@situacionesdifi</v>
      </c>
      <c r="C568" s="8" t="s">
        <v>1136</v>
      </c>
      <c r="D568" s="9" t="s">
        <v>1137</v>
      </c>
      <c r="E568" s="10" t="str">
        <f>HYPERLINK("https://twitter.com/situacionesdifi/status/1071295717598216192","1071295717598216192")</f>
        <v>1071295717598216192</v>
      </c>
      <c r="F568" s="12" t="s">
        <v>1138</v>
      </c>
      <c r="G568" s="11"/>
      <c r="H568" s="11"/>
      <c r="I568" s="13">
        <v>0</v>
      </c>
      <c r="J568" s="13">
        <v>0</v>
      </c>
      <c r="K568" s="14" t="str">
        <f>HYPERLINK("http://twitter.com","Twitter Web Client")</f>
        <v>Twitter Web Client</v>
      </c>
      <c r="L568" s="13">
        <v>253</v>
      </c>
      <c r="M568" s="13">
        <v>403</v>
      </c>
      <c r="N568" s="13">
        <v>2</v>
      </c>
      <c r="O568" s="15"/>
      <c r="P568" s="6">
        <v>43083.860150462962</v>
      </c>
      <c r="Q568" s="18" t="s">
        <v>1141</v>
      </c>
      <c r="R568" s="19" t="s">
        <v>1142</v>
      </c>
      <c r="S568" s="12" t="s">
        <v>1143</v>
      </c>
      <c r="T568" s="11"/>
      <c r="U568" s="10" t="str">
        <f>HYPERLINK("https://pbs.twimg.com/profile_images/1043776966606884865/G4lwV7yU.jpg","View")</f>
        <v>View</v>
      </c>
    </row>
    <row r="569" spans="1:21" ht="30.6">
      <c r="A569" s="6">
        <v>43442.323437500003</v>
      </c>
      <c r="B569" s="7" t="str">
        <f>HYPERLINK("https://twitter.com/Cristocalle","@Cristocalle")</f>
        <v>@Cristocalle</v>
      </c>
      <c r="C569" s="8" t="s">
        <v>3650</v>
      </c>
      <c r="D569" s="9" t="s">
        <v>3651</v>
      </c>
      <c r="E569" s="10" t="str">
        <f>HYPERLINK("https://twitter.com/Cristocalle/status/1071294744125411328","1071294744125411328")</f>
        <v>1071294744125411328</v>
      </c>
      <c r="F569" s="12" t="s">
        <v>2161</v>
      </c>
      <c r="G569" s="11"/>
      <c r="H569" s="11"/>
      <c r="I569" s="13">
        <v>0</v>
      </c>
      <c r="J569" s="13">
        <v>0</v>
      </c>
      <c r="K569" s="14" t="str">
        <f>HYPERLINK("http://www.facebook.com/twitter","Facebook")</f>
        <v>Facebook</v>
      </c>
      <c r="L569" s="13">
        <v>41</v>
      </c>
      <c r="M569" s="13">
        <v>51</v>
      </c>
      <c r="N569" s="13">
        <v>1</v>
      </c>
      <c r="O569" s="15"/>
      <c r="P569" s="6">
        <v>40635.782997685186</v>
      </c>
      <c r="Q569" s="18" t="s">
        <v>2896</v>
      </c>
      <c r="R569" s="19" t="s">
        <v>3653</v>
      </c>
      <c r="S569" s="12" t="s">
        <v>3654</v>
      </c>
      <c r="T569" s="11"/>
      <c r="U569" s="10" t="str">
        <f>HYPERLINK("https://pbs.twimg.com/profile_images/1297365306/avatar.jpg","View")</f>
        <v>View</v>
      </c>
    </row>
    <row r="570" spans="1:21" ht="51">
      <c r="A570" s="6">
        <v>43442.320648148147</v>
      </c>
      <c r="B570" s="7" t="str">
        <f>HYPERLINK("https://twitter.com/Druida_HodboH","@Druida_HodboH")</f>
        <v>@Druida_HodboH</v>
      </c>
      <c r="C570" s="8" t="s">
        <v>3655</v>
      </c>
      <c r="D570" s="9" t="s">
        <v>3656</v>
      </c>
      <c r="E570" s="10" t="str">
        <f>HYPERLINK("https://twitter.com/Druida_HodboH/status/1071293732841013248","1071293732841013248")</f>
        <v>1071293732841013248</v>
      </c>
      <c r="F570" s="12" t="s">
        <v>1487</v>
      </c>
      <c r="G570" s="12" t="s">
        <v>1488</v>
      </c>
      <c r="H570" s="11"/>
      <c r="I570" s="13">
        <v>0</v>
      </c>
      <c r="J570" s="13">
        <v>0</v>
      </c>
      <c r="K570" s="14" t="str">
        <f t="shared" ref="K570:K571" si="107">HYPERLINK("http://twitter.com/download/android","Twitter for Android")</f>
        <v>Twitter for Android</v>
      </c>
      <c r="L570" s="13">
        <v>326</v>
      </c>
      <c r="M570" s="13">
        <v>542</v>
      </c>
      <c r="N570" s="13">
        <v>3</v>
      </c>
      <c r="O570" s="15"/>
      <c r="P570" s="6">
        <v>42918.616203703699</v>
      </c>
      <c r="Q570" s="11"/>
      <c r="R570" s="19" t="s">
        <v>3657</v>
      </c>
      <c r="S570" s="11"/>
      <c r="T570" s="11"/>
      <c r="U570" s="10" t="str">
        <f>HYPERLINK("https://pbs.twimg.com/profile_images/1045585952419336192/y_UipUAs.jpg","View")</f>
        <v>View</v>
      </c>
    </row>
    <row r="571" spans="1:21" ht="20.399999999999999">
      <c r="A571" s="6">
        <v>43442.31894675926</v>
      </c>
      <c r="B571" s="7" t="str">
        <f>HYPERLINK("https://twitter.com/MoyMeri","@MoyMeri")</f>
        <v>@MoyMeri</v>
      </c>
      <c r="C571" s="8" t="s">
        <v>3661</v>
      </c>
      <c r="D571" s="9" t="s">
        <v>3662</v>
      </c>
      <c r="E571" s="10" t="str">
        <f>HYPERLINK("https://twitter.com/MoyMeri/status/1071293116106326016","1071293116106326016")</f>
        <v>1071293116106326016</v>
      </c>
      <c r="F571" s="12" t="s">
        <v>280</v>
      </c>
      <c r="G571" s="11"/>
      <c r="H571" s="11"/>
      <c r="I571" s="13">
        <v>0</v>
      </c>
      <c r="J571" s="13">
        <v>0</v>
      </c>
      <c r="K571" s="14" t="str">
        <f t="shared" si="107"/>
        <v>Twitter for Android</v>
      </c>
      <c r="L571" s="13">
        <v>1164</v>
      </c>
      <c r="M571" s="13">
        <v>2013</v>
      </c>
      <c r="N571" s="13">
        <v>0</v>
      </c>
      <c r="O571" s="15"/>
      <c r="P571" s="6">
        <v>43384.643055555556</v>
      </c>
      <c r="Q571" s="11"/>
      <c r="R571" s="17"/>
      <c r="S571" s="11"/>
      <c r="T571" s="11"/>
      <c r="U571" s="10" t="str">
        <f>HYPERLINK("https://pbs.twimg.com/profile_images/1050379112085360640/DJ47vSJg.jpg","View")</f>
        <v>View</v>
      </c>
    </row>
    <row r="572" spans="1:21" ht="20.399999999999999">
      <c r="A572" s="6">
        <v>43442.316574074073</v>
      </c>
      <c r="B572" s="7" t="str">
        <f>HYPERLINK("https://twitter.com/pelayin47","@pelayin47")</f>
        <v>@pelayin47</v>
      </c>
      <c r="C572" s="8" t="s">
        <v>3666</v>
      </c>
      <c r="D572" s="9" t="s">
        <v>279</v>
      </c>
      <c r="E572" s="10" t="str">
        <f>HYPERLINK("https://twitter.com/pelayin47/status/1071292258228600832","1071292258228600832")</f>
        <v>1071292258228600832</v>
      </c>
      <c r="F572" s="12" t="s">
        <v>280</v>
      </c>
      <c r="G572" s="11"/>
      <c r="H572" s="11"/>
      <c r="I572" s="13">
        <v>0</v>
      </c>
      <c r="J572" s="13">
        <v>0</v>
      </c>
      <c r="K572" s="14" t="str">
        <f t="shared" ref="K572:K573" si="108">HYPERLINK("http://twitter.com/download/iphone","Twitter for iPhone")</f>
        <v>Twitter for iPhone</v>
      </c>
      <c r="L572" s="13">
        <v>367</v>
      </c>
      <c r="M572" s="13">
        <v>998</v>
      </c>
      <c r="N572" s="13">
        <v>1</v>
      </c>
      <c r="O572" s="15"/>
      <c r="P572" s="6">
        <v>41726.003518518519</v>
      </c>
      <c r="Q572" s="11"/>
      <c r="R572" s="17"/>
      <c r="S572" s="11"/>
      <c r="T572" s="11"/>
      <c r="U572" s="10" t="str">
        <f>HYPERLINK("https://pbs.twimg.com/profile_images/995558575144624128/Xe2CHeYi.jpg","View")</f>
        <v>View</v>
      </c>
    </row>
    <row r="573" spans="1:21" ht="51">
      <c r="A573" s="6">
        <v>43442.316041666665</v>
      </c>
      <c r="B573" s="7" t="str">
        <f>HYPERLINK("https://twitter.com/mariposeandoya","@mariposeandoya")</f>
        <v>@mariposeandoya</v>
      </c>
      <c r="C573" s="8" t="s">
        <v>1145</v>
      </c>
      <c r="D573" s="9" t="s">
        <v>1146</v>
      </c>
      <c r="E573" s="10" t="str">
        <f>HYPERLINK("https://twitter.com/mariposeandoya/status/1071292063029870592","1071292063029870592")</f>
        <v>1071292063029870592</v>
      </c>
      <c r="F573" s="11"/>
      <c r="G573" s="12" t="s">
        <v>1150</v>
      </c>
      <c r="H573" s="11"/>
      <c r="I573" s="13">
        <v>0</v>
      </c>
      <c r="J573" s="13">
        <v>0</v>
      </c>
      <c r="K573" s="14" t="str">
        <f t="shared" si="108"/>
        <v>Twitter for iPhone</v>
      </c>
      <c r="L573" s="13">
        <v>34</v>
      </c>
      <c r="M573" s="13">
        <v>63</v>
      </c>
      <c r="N573" s="13">
        <v>0</v>
      </c>
      <c r="O573" s="15"/>
      <c r="P573" s="6">
        <v>40744.579618055555</v>
      </c>
      <c r="Q573" s="18" t="s">
        <v>42</v>
      </c>
      <c r="R573" s="19" t="s">
        <v>1153</v>
      </c>
      <c r="S573" s="11"/>
      <c r="T573" s="11"/>
      <c r="U573" s="10" t="str">
        <f>HYPERLINK("https://pbs.twimg.com/profile_images/526782602557284352/kUK7esbq.jpeg","View")</f>
        <v>View</v>
      </c>
    </row>
    <row r="574" spans="1:21" ht="30.6">
      <c r="A574" s="6">
        <v>43442.314340277779</v>
      </c>
      <c r="B574" s="7" t="str">
        <f>HYPERLINK("https://twitter.com/GLADIATOR_LIBRE","@GLADIATOR_LIBRE")</f>
        <v>@GLADIATOR_LIBRE</v>
      </c>
      <c r="C574" s="8" t="s">
        <v>3669</v>
      </c>
      <c r="D574" s="9" t="s">
        <v>743</v>
      </c>
      <c r="E574" s="10" t="str">
        <f>HYPERLINK("https://twitter.com/GLADIATOR_LIBRE/status/1071291449189253120","1071291449189253120")</f>
        <v>1071291449189253120</v>
      </c>
      <c r="F574" s="12" t="s">
        <v>280</v>
      </c>
      <c r="G574" s="11"/>
      <c r="H574" s="11"/>
      <c r="I574" s="13">
        <v>0</v>
      </c>
      <c r="J574" s="13">
        <v>0</v>
      </c>
      <c r="K574" s="14" t="str">
        <f>HYPERLINK("http://twitter.com/download/android","Twitter for Android")</f>
        <v>Twitter for Android</v>
      </c>
      <c r="L574" s="13">
        <v>895</v>
      </c>
      <c r="M574" s="13">
        <v>1409</v>
      </c>
      <c r="N574" s="13">
        <v>18</v>
      </c>
      <c r="O574" s="15"/>
      <c r="P574" s="6">
        <v>42220.674930555557</v>
      </c>
      <c r="Q574" s="18" t="s">
        <v>1682</v>
      </c>
      <c r="R574" s="19" t="s">
        <v>3674</v>
      </c>
      <c r="S574" s="12" t="s">
        <v>3676</v>
      </c>
      <c r="T574" s="11"/>
      <c r="U574" s="10" t="str">
        <f>HYPERLINK("https://pbs.twimg.com/profile_images/802803845663522816/5jzOXYZU.jpg","View")</f>
        <v>View</v>
      </c>
    </row>
    <row r="575" spans="1:21" ht="20.399999999999999">
      <c r="A575" s="6">
        <v>43442.313414351855</v>
      </c>
      <c r="B575" s="7" t="str">
        <f>HYPERLINK("https://twitter.com/winston1955","@winston1955")</f>
        <v>@winston1955</v>
      </c>
      <c r="C575" s="8" t="s">
        <v>3678</v>
      </c>
      <c r="D575" s="9" t="s">
        <v>3679</v>
      </c>
      <c r="E575" s="10" t="str">
        <f>HYPERLINK("https://twitter.com/winston1955/status/1071291112453758977","1071291112453758977")</f>
        <v>1071291112453758977</v>
      </c>
      <c r="F575" s="12" t="s">
        <v>290</v>
      </c>
      <c r="G575" s="11"/>
      <c r="H575" s="11"/>
      <c r="I575" s="13">
        <v>0</v>
      </c>
      <c r="J575" s="13">
        <v>0</v>
      </c>
      <c r="K575" s="14" t="str">
        <f>HYPERLINK("http://twitter.com","Twitter Web Client")</f>
        <v>Twitter Web Client</v>
      </c>
      <c r="L575" s="13">
        <v>790</v>
      </c>
      <c r="M575" s="13">
        <v>1086</v>
      </c>
      <c r="N575" s="13">
        <v>21</v>
      </c>
      <c r="O575" s="15"/>
      <c r="P575" s="6">
        <v>41933.443912037037</v>
      </c>
      <c r="Q575" s="11"/>
      <c r="R575" s="17"/>
      <c r="S575" s="11"/>
      <c r="T575" s="11"/>
      <c r="U575" s="10" t="str">
        <f>HYPERLINK("https://pbs.twimg.com/profile_images/524482500840546304/WODty3h0.jpeg","View")</f>
        <v>View</v>
      </c>
    </row>
    <row r="576" spans="1:21" ht="30.6">
      <c r="A576" s="6">
        <v>43442.310532407406</v>
      </c>
      <c r="B576" s="7" t="str">
        <f>HYPERLINK("https://twitter.com/PBMarbeMalaga","@PBMarbeMalaga")</f>
        <v>@PBMarbeMalaga</v>
      </c>
      <c r="C576" s="8" t="s">
        <v>1635</v>
      </c>
      <c r="D576" s="9" t="s">
        <v>3683</v>
      </c>
      <c r="E576" s="10" t="str">
        <f>HYPERLINK("https://twitter.com/PBMarbeMalaga/status/1071290068680278016","1071290068680278016")</f>
        <v>1071290068680278016</v>
      </c>
      <c r="F576" s="12" t="s">
        <v>3685</v>
      </c>
      <c r="G576" s="11"/>
      <c r="H576" s="11"/>
      <c r="I576" s="13">
        <v>0</v>
      </c>
      <c r="J576" s="13">
        <v>0</v>
      </c>
      <c r="K576" s="14" t="str">
        <f>HYPERLINK("https://javitang.ddns.net","PBMarbeMalaga")</f>
        <v>PBMarbeMalaga</v>
      </c>
      <c r="L576" s="13">
        <v>1316</v>
      </c>
      <c r="M576" s="13">
        <v>1358</v>
      </c>
      <c r="N576" s="13">
        <v>2</v>
      </c>
      <c r="O576" s="15"/>
      <c r="P576" s="6">
        <v>43149.814074074078</v>
      </c>
      <c r="Q576" s="18" t="s">
        <v>1637</v>
      </c>
      <c r="R576" s="19" t="s">
        <v>1638</v>
      </c>
      <c r="S576" s="11"/>
      <c r="T576" s="11"/>
      <c r="U576" s="10" t="str">
        <f>HYPERLINK("https://pbs.twimg.com/profile_images/965296691145531392/sAFnfUu2.jpg","View")</f>
        <v>View</v>
      </c>
    </row>
    <row r="577" spans="1:21" ht="40.799999999999997">
      <c r="A577" s="6">
        <v>43442.308055555557</v>
      </c>
      <c r="B577" s="7" t="str">
        <f>HYPERLINK("https://twitter.com/CVillasante1","@CVillasante1")</f>
        <v>@CVillasante1</v>
      </c>
      <c r="C577" s="8" t="s">
        <v>3687</v>
      </c>
      <c r="D577" s="9" t="s">
        <v>3688</v>
      </c>
      <c r="E577" s="10" t="str">
        <f>HYPERLINK("https://twitter.com/CVillasante1/status/1071289170679775233","1071289170679775233")</f>
        <v>1071289170679775233</v>
      </c>
      <c r="F577" s="11"/>
      <c r="G577" s="11"/>
      <c r="H577" s="11"/>
      <c r="I577" s="13">
        <v>1</v>
      </c>
      <c r="J577" s="13">
        <v>0</v>
      </c>
      <c r="K577" s="14" t="str">
        <f>HYPERLINK("http://twitter.com/download/android","Twitter for Android")</f>
        <v>Twitter for Android</v>
      </c>
      <c r="L577" s="13">
        <v>452</v>
      </c>
      <c r="M577" s="13">
        <v>1600</v>
      </c>
      <c r="N577" s="13">
        <v>5</v>
      </c>
      <c r="O577" s="15"/>
      <c r="P577" s="6">
        <v>40987.473217592589</v>
      </c>
      <c r="Q577" s="18" t="s">
        <v>42</v>
      </c>
      <c r="R577" s="19" t="s">
        <v>3690</v>
      </c>
      <c r="S577" s="11"/>
      <c r="T577" s="11"/>
      <c r="U577" s="10" t="str">
        <f>HYPERLINK("https://pbs.twimg.com/profile_images/827804639072514048/4UtaQCCO.jpg","View")</f>
        <v>View</v>
      </c>
    </row>
    <row r="578" spans="1:21" ht="61.2">
      <c r="A578" s="6">
        <v>43442.3044212963</v>
      </c>
      <c r="B578" s="7" t="str">
        <f>HYPERLINK("https://twitter.com/OscarJugon","@OscarJugon")</f>
        <v>@OscarJugon</v>
      </c>
      <c r="C578" s="8" t="s">
        <v>1155</v>
      </c>
      <c r="D578" s="9" t="s">
        <v>1157</v>
      </c>
      <c r="E578" s="10" t="str">
        <f>HYPERLINK("https://twitter.com/OscarJugon/status/1071287854234566657","1071287854234566657")</f>
        <v>1071287854234566657</v>
      </c>
      <c r="F578" s="12" t="s">
        <v>1160</v>
      </c>
      <c r="G578" s="12" t="s">
        <v>1161</v>
      </c>
      <c r="H578" s="11"/>
      <c r="I578" s="13">
        <v>1</v>
      </c>
      <c r="J578" s="13">
        <v>0</v>
      </c>
      <c r="K578" s="14" t="str">
        <f>HYPERLINK("https://mobile.twitter.com","Twitter Lite")</f>
        <v>Twitter Lite</v>
      </c>
      <c r="L578" s="13">
        <v>805</v>
      </c>
      <c r="M578" s="13">
        <v>1889</v>
      </c>
      <c r="N578" s="13">
        <v>24</v>
      </c>
      <c r="O578" s="15"/>
      <c r="P578" s="6">
        <v>40690.458136574074</v>
      </c>
      <c r="Q578" s="11"/>
      <c r="R578" s="17"/>
      <c r="S578" s="12" t="s">
        <v>1163</v>
      </c>
      <c r="T578" s="11"/>
      <c r="U578" s="10" t="str">
        <f>HYPERLINK("https://pbs.twimg.com/profile_images/983027444671303682/J232Uene.jpg","View")</f>
        <v>View</v>
      </c>
    </row>
    <row r="579" spans="1:21" ht="51">
      <c r="A579" s="6">
        <v>43442.302372685182</v>
      </c>
      <c r="B579" s="7" t="str">
        <f>HYPERLINK("https://twitter.com/RubenArranzVPL","@RubenArranzVPL")</f>
        <v>@RubenArranzVPL</v>
      </c>
      <c r="C579" s="8" t="s">
        <v>3697</v>
      </c>
      <c r="D579" s="9" t="s">
        <v>3698</v>
      </c>
      <c r="E579" s="10" t="str">
        <f>HYPERLINK("https://twitter.com/RubenArranzVPL/status/1071287109342904320","1071287109342904320")</f>
        <v>1071287109342904320</v>
      </c>
      <c r="F579" s="12" t="s">
        <v>3701</v>
      </c>
      <c r="G579" s="11"/>
      <c r="H579" s="11"/>
      <c r="I579" s="13">
        <v>1</v>
      </c>
      <c r="J579" s="13">
        <v>7</v>
      </c>
      <c r="K579" s="14" t="str">
        <f>HYPERLINK("http://twitter.com/download/android","Twitter for Android")</f>
        <v>Twitter for Android</v>
      </c>
      <c r="L579" s="13">
        <v>629</v>
      </c>
      <c r="M579" s="13">
        <v>388</v>
      </c>
      <c r="N579" s="13">
        <v>25</v>
      </c>
      <c r="O579" s="15"/>
      <c r="P579" s="6">
        <v>40620.843321759261</v>
      </c>
      <c r="Q579" s="18" t="s">
        <v>41</v>
      </c>
      <c r="R579" s="19" t="s">
        <v>3702</v>
      </c>
      <c r="S579" s="11"/>
      <c r="T579" s="11"/>
      <c r="U579" s="10" t="str">
        <f>HYPERLINK("https://pbs.twimg.com/profile_images/614584441567117312/zNI7-Kvg.jpg","View")</f>
        <v>View</v>
      </c>
    </row>
    <row r="580" spans="1:21" ht="30.6">
      <c r="A580" s="6">
        <v>43442.297905092593</v>
      </c>
      <c r="B580" s="7" t="str">
        <f>HYPERLINK("https://twitter.com/banqueroharto","@banqueroharto")</f>
        <v>@banqueroharto</v>
      </c>
      <c r="C580" s="8" t="s">
        <v>3705</v>
      </c>
      <c r="D580" s="9" t="s">
        <v>3706</v>
      </c>
      <c r="E580" s="10" t="str">
        <f>HYPERLINK("https://twitter.com/banqueroharto/status/1071285493860589569","1071285493860589569")</f>
        <v>1071285493860589569</v>
      </c>
      <c r="F580" s="12" t="s">
        <v>280</v>
      </c>
      <c r="G580" s="11"/>
      <c r="H580" s="11"/>
      <c r="I580" s="13">
        <v>0</v>
      </c>
      <c r="J580" s="13">
        <v>0</v>
      </c>
      <c r="K580" s="14" t="str">
        <f>HYPERLINK("http://twitter.com/#!/download/ipad","Twitter for iPad")</f>
        <v>Twitter for iPad</v>
      </c>
      <c r="L580" s="13">
        <v>510</v>
      </c>
      <c r="M580" s="13">
        <v>1036</v>
      </c>
      <c r="N580" s="13">
        <v>8</v>
      </c>
      <c r="O580" s="15"/>
      <c r="P580" s="6">
        <v>41318.610046296293</v>
      </c>
      <c r="Q580" s="11"/>
      <c r="R580" s="19" t="s">
        <v>3710</v>
      </c>
      <c r="S580" s="11"/>
      <c r="T580" s="11"/>
      <c r="U580" s="10" t="str">
        <f>HYPERLINK("https://pbs.twimg.com/profile_images/611237572287852544/GAE1LeUx.jpg","View")</f>
        <v>View</v>
      </c>
    </row>
    <row r="581" spans="1:21" ht="40.799999999999997">
      <c r="A581" s="6">
        <v>43442.296666666662</v>
      </c>
      <c r="B581" s="7" t="str">
        <f>HYPERLINK("https://twitter.com/riduran_p","@riduran_p")</f>
        <v>@riduran_p</v>
      </c>
      <c r="C581" s="8" t="s">
        <v>3713</v>
      </c>
      <c r="D581" s="9" t="s">
        <v>3714</v>
      </c>
      <c r="E581" s="10" t="str">
        <f>HYPERLINK("https://twitter.com/riduran_p/status/1071285041962106880","1071285041962106880")</f>
        <v>1071285041962106880</v>
      </c>
      <c r="F581" s="12" t="s">
        <v>3717</v>
      </c>
      <c r="G581" s="11"/>
      <c r="H581" s="11"/>
      <c r="I581" s="13">
        <v>13</v>
      </c>
      <c r="J581" s="13">
        <v>17</v>
      </c>
      <c r="K581" s="14" t="str">
        <f>HYPERLINK("http://twitter.com","Twitter Web Client")</f>
        <v>Twitter Web Client</v>
      </c>
      <c r="L581" s="13">
        <v>8543</v>
      </c>
      <c r="M581" s="13">
        <v>7522</v>
      </c>
      <c r="N581" s="13">
        <v>22</v>
      </c>
      <c r="O581" s="15"/>
      <c r="P581" s="6">
        <v>40678.594918981486</v>
      </c>
      <c r="Q581" s="18" t="s">
        <v>1682</v>
      </c>
      <c r="R581" s="19" t="s">
        <v>3719</v>
      </c>
      <c r="S581" s="12" t="s">
        <v>3721</v>
      </c>
      <c r="T581" s="11"/>
      <c r="U581" s="10" t="str">
        <f>HYPERLINK("https://pbs.twimg.com/profile_images/972822677244272640/23HaWXad.jpg","View")</f>
        <v>View</v>
      </c>
    </row>
    <row r="582" spans="1:21" ht="61.2">
      <c r="A582" s="6">
        <v>43442.288784722223</v>
      </c>
      <c r="B582" s="7" t="str">
        <f>HYPERLINK("https://twitter.com/DanielBarceloR1","@DanielBarceloR1")</f>
        <v>@DanielBarceloR1</v>
      </c>
      <c r="C582" s="8" t="s">
        <v>3725</v>
      </c>
      <c r="D582" s="9" t="s">
        <v>3726</v>
      </c>
      <c r="E582" s="10" t="str">
        <f>HYPERLINK("https://twitter.com/DanielBarceloR1/status/1071282187813773312","1071282187813773312")</f>
        <v>1071282187813773312</v>
      </c>
      <c r="F582" s="12" t="s">
        <v>44</v>
      </c>
      <c r="G582" s="11"/>
      <c r="H582" s="11"/>
      <c r="I582" s="13">
        <v>3</v>
      </c>
      <c r="J582" s="13">
        <v>6</v>
      </c>
      <c r="K582" s="14" t="str">
        <f>HYPERLINK("http://twitter.com/download/android","Twitter for Android")</f>
        <v>Twitter for Android</v>
      </c>
      <c r="L582" s="13">
        <v>418</v>
      </c>
      <c r="M582" s="13">
        <v>793</v>
      </c>
      <c r="N582" s="13">
        <v>0</v>
      </c>
      <c r="O582" s="15"/>
      <c r="P582" s="6">
        <v>43424.923472222217</v>
      </c>
      <c r="Q582" s="18" t="s">
        <v>42</v>
      </c>
      <c r="R582" s="19" t="s">
        <v>3730</v>
      </c>
      <c r="S582" s="11"/>
      <c r="T582" s="11"/>
      <c r="U582" s="10" t="str">
        <f>HYPERLINK("https://pbs.twimg.com/profile_images/1065362848665223168/2H9WM844.jpg","View")</f>
        <v>View</v>
      </c>
    </row>
    <row r="583" spans="1:21" ht="20.399999999999999">
      <c r="A583" s="6">
        <v>43442.284039351856</v>
      </c>
      <c r="B583" s="7" t="str">
        <f>HYPERLINK("https://twitter.com/guanche55","@guanche55")</f>
        <v>@guanche55</v>
      </c>
      <c r="C583" s="8" t="s">
        <v>3731</v>
      </c>
      <c r="D583" s="9" t="s">
        <v>347</v>
      </c>
      <c r="E583" s="10" t="str">
        <f>HYPERLINK("https://twitter.com/guanche55/status/1071280466613977088","1071280466613977088")</f>
        <v>1071280466613977088</v>
      </c>
      <c r="F583" s="12" t="s">
        <v>166</v>
      </c>
      <c r="G583" s="11"/>
      <c r="H583" s="11"/>
      <c r="I583" s="13">
        <v>0</v>
      </c>
      <c r="J583" s="13">
        <v>0</v>
      </c>
      <c r="K583" s="14" t="str">
        <f t="shared" ref="K583:K585" si="109">HYPERLINK("http://www.facebook.com/twitter","Facebook")</f>
        <v>Facebook</v>
      </c>
      <c r="L583" s="13">
        <v>51</v>
      </c>
      <c r="M583" s="13">
        <v>98</v>
      </c>
      <c r="N583" s="13">
        <v>0</v>
      </c>
      <c r="O583" s="15"/>
      <c r="P583" s="6">
        <v>40284.661319444444</v>
      </c>
      <c r="Q583" s="18" t="s">
        <v>3734</v>
      </c>
      <c r="R583" s="19" t="s">
        <v>3735</v>
      </c>
      <c r="S583" s="11"/>
      <c r="T583" s="11"/>
      <c r="U583" s="10" t="str">
        <f>HYPERLINK("https://pbs.twimg.com/profile_images/725622177404456962/PM27tWU_.jpg","View")</f>
        <v>View</v>
      </c>
    </row>
    <row r="584" spans="1:21" ht="20.399999999999999">
      <c r="A584" s="6">
        <v>43442.283391203702</v>
      </c>
      <c r="B584" s="7" t="str">
        <f t="shared" ref="B584:B585" si="110">HYPERLINK("https://twitter.com/CwhRoss","@CwhRoss")</f>
        <v>@CwhRoss</v>
      </c>
      <c r="C584" s="8" t="s">
        <v>3241</v>
      </c>
      <c r="D584" s="9" t="s">
        <v>3738</v>
      </c>
      <c r="E584" s="10" t="str">
        <f>HYPERLINK("https://twitter.com/CwhRoss/status/1071280233947516928","1071280233947516928")</f>
        <v>1071280233947516928</v>
      </c>
      <c r="F584" s="12" t="s">
        <v>3741</v>
      </c>
      <c r="G584" s="11"/>
      <c r="H584" s="11"/>
      <c r="I584" s="13">
        <v>0</v>
      </c>
      <c r="J584" s="13">
        <v>0</v>
      </c>
      <c r="K584" s="14" t="str">
        <f t="shared" si="109"/>
        <v>Facebook</v>
      </c>
      <c r="L584" s="13">
        <v>170</v>
      </c>
      <c r="M584" s="13">
        <v>2</v>
      </c>
      <c r="N584" s="13">
        <v>45</v>
      </c>
      <c r="O584" s="15"/>
      <c r="P584" s="6">
        <v>41008.781701388885</v>
      </c>
      <c r="Q584" s="18" t="s">
        <v>3245</v>
      </c>
      <c r="R584" s="28" t="s">
        <v>3246</v>
      </c>
      <c r="S584" s="12" t="s">
        <v>3250</v>
      </c>
      <c r="T584" s="11"/>
      <c r="U584" s="10" t="str">
        <f t="shared" ref="U584:U585" si="111">HYPERLINK("https://pbs.twimg.com/profile_images/2076887937/Copy_of_cerdo_con_maciza.jpg","View")</f>
        <v>View</v>
      </c>
    </row>
    <row r="585" spans="1:21" ht="20.399999999999999">
      <c r="A585" s="6">
        <v>43442.283101851848</v>
      </c>
      <c r="B585" s="7" t="str">
        <f t="shared" si="110"/>
        <v>@CwhRoss</v>
      </c>
      <c r="C585" s="8" t="s">
        <v>3241</v>
      </c>
      <c r="D585" s="9" t="s">
        <v>3745</v>
      </c>
      <c r="E585" s="10" t="str">
        <f>HYPERLINK("https://twitter.com/CwhRoss/status/1071280126673985536","1071280126673985536")</f>
        <v>1071280126673985536</v>
      </c>
      <c r="F585" s="12" t="s">
        <v>3748</v>
      </c>
      <c r="G585" s="11"/>
      <c r="H585" s="11"/>
      <c r="I585" s="13">
        <v>0</v>
      </c>
      <c r="J585" s="13">
        <v>0</v>
      </c>
      <c r="K585" s="14" t="str">
        <f t="shared" si="109"/>
        <v>Facebook</v>
      </c>
      <c r="L585" s="13">
        <v>170</v>
      </c>
      <c r="M585" s="13">
        <v>2</v>
      </c>
      <c r="N585" s="13">
        <v>45</v>
      </c>
      <c r="O585" s="15"/>
      <c r="P585" s="6">
        <v>41008.781701388885</v>
      </c>
      <c r="Q585" s="18" t="s">
        <v>3245</v>
      </c>
      <c r="R585" s="28" t="s">
        <v>3246</v>
      </c>
      <c r="S585" s="12" t="s">
        <v>3250</v>
      </c>
      <c r="T585" s="11"/>
      <c r="U585" s="10" t="str">
        <f t="shared" si="111"/>
        <v>View</v>
      </c>
    </row>
    <row r="586" spans="1:21" ht="20.399999999999999">
      <c r="A586" s="6">
        <v>43442.281828703708</v>
      </c>
      <c r="B586" s="7" t="str">
        <f>HYPERLINK("https://twitter.com/LuisCarlos17f","@LuisCarlos17f")</f>
        <v>@LuisCarlos17f</v>
      </c>
      <c r="C586" s="8" t="s">
        <v>3753</v>
      </c>
      <c r="D586" s="9" t="s">
        <v>1452</v>
      </c>
      <c r="E586" s="10" t="str">
        <f>HYPERLINK("https://twitter.com/LuisCarlos17f/status/1071279667716464640","1071279667716464640")</f>
        <v>1071279667716464640</v>
      </c>
      <c r="F586" s="12" t="s">
        <v>296</v>
      </c>
      <c r="G586" s="11"/>
      <c r="H586" s="11"/>
      <c r="I586" s="13">
        <v>0</v>
      </c>
      <c r="J586" s="13">
        <v>1</v>
      </c>
      <c r="K586" s="14" t="str">
        <f>HYPERLINK("http://twitter.com","Twitter Web Client")</f>
        <v>Twitter Web Client</v>
      </c>
      <c r="L586" s="13">
        <v>330</v>
      </c>
      <c r="M586" s="13">
        <v>1080</v>
      </c>
      <c r="N586" s="13">
        <v>3</v>
      </c>
      <c r="O586" s="15"/>
      <c r="P586" s="6">
        <v>42913.69803240741</v>
      </c>
      <c r="Q586" s="18" t="s">
        <v>3755</v>
      </c>
      <c r="R586" s="17"/>
      <c r="S586" s="11"/>
      <c r="T586" s="11"/>
      <c r="U586" s="10" t="str">
        <f>HYPERLINK("https://pbs.twimg.com/profile_images/880094856810463232/MN4WBge2.jpg","View")</f>
        <v>View</v>
      </c>
    </row>
    <row r="587" spans="1:21" ht="30.6">
      <c r="A587" s="6">
        <v>43442.281423611115</v>
      </c>
      <c r="B587" s="7" t="str">
        <f>HYPERLINK("https://twitter.com/excometals","@excometals")</f>
        <v>@excometals</v>
      </c>
      <c r="C587" s="8" t="s">
        <v>3759</v>
      </c>
      <c r="D587" s="9" t="s">
        <v>3760</v>
      </c>
      <c r="E587" s="10" t="str">
        <f>HYPERLINK("https://twitter.com/excometals/status/1071279519024246785","1071279519024246785")</f>
        <v>1071279519024246785</v>
      </c>
      <c r="F587" s="12" t="s">
        <v>3761</v>
      </c>
      <c r="G587" s="11"/>
      <c r="H587" s="11"/>
      <c r="I587" s="13">
        <v>0</v>
      </c>
      <c r="J587" s="13">
        <v>0</v>
      </c>
      <c r="K587" s="14" t="str">
        <f>HYPERLINK("http://www.facebook.com/twitter","Facebook")</f>
        <v>Facebook</v>
      </c>
      <c r="L587" s="13">
        <v>963</v>
      </c>
      <c r="M587" s="13">
        <v>499</v>
      </c>
      <c r="N587" s="13">
        <v>57</v>
      </c>
      <c r="O587" s="15"/>
      <c r="P587" s="6">
        <v>40623.696446759262</v>
      </c>
      <c r="Q587" s="18" t="s">
        <v>42</v>
      </c>
      <c r="R587" s="17"/>
      <c r="S587" s="12" t="s">
        <v>3764</v>
      </c>
      <c r="T587" s="11"/>
      <c r="U587" s="10" t="str">
        <f>HYPERLINK("https://pbs.twimg.com/profile_images/1046250365228863488/Zl0YB5zT.jpg","View")</f>
        <v>View</v>
      </c>
    </row>
    <row r="588" spans="1:21" ht="40.799999999999997">
      <c r="A588" s="6">
        <v>43442.279340277775</v>
      </c>
      <c r="B588" s="7" t="str">
        <f>HYPERLINK("https://twitter.com/stevekanvas","@stevekanvas")</f>
        <v>@stevekanvas</v>
      </c>
      <c r="C588" s="8" t="s">
        <v>1165</v>
      </c>
      <c r="D588" s="9" t="s">
        <v>1166</v>
      </c>
      <c r="E588" s="10" t="str">
        <f>HYPERLINK("https://twitter.com/stevekanvas/status/1071278765945294848","1071278765945294848")</f>
        <v>1071278765945294848</v>
      </c>
      <c r="F588" s="11"/>
      <c r="G588" s="12" t="s">
        <v>1167</v>
      </c>
      <c r="H588" s="11"/>
      <c r="I588" s="13">
        <v>0</v>
      </c>
      <c r="J588" s="13">
        <v>0</v>
      </c>
      <c r="K588" s="14" t="str">
        <f t="shared" ref="K588:K589" si="112">HYPERLINK("http://twitter.com/download/android","Twitter for Android")</f>
        <v>Twitter for Android</v>
      </c>
      <c r="L588" s="13">
        <v>353</v>
      </c>
      <c r="M588" s="13">
        <v>669</v>
      </c>
      <c r="N588" s="13">
        <v>19</v>
      </c>
      <c r="O588" s="15"/>
      <c r="P588" s="6">
        <v>40215.840729166666</v>
      </c>
      <c r="Q588" s="18" t="s">
        <v>1168</v>
      </c>
      <c r="R588" s="19" t="s">
        <v>1169</v>
      </c>
      <c r="S588" s="12" t="s">
        <v>1170</v>
      </c>
      <c r="T588" s="11"/>
      <c r="U588" s="10" t="str">
        <f>HYPERLINK("https://pbs.twimg.com/profile_images/1061178411308277760/WtWy-bV8.jpg","View")</f>
        <v>View</v>
      </c>
    </row>
    <row r="589" spans="1:21" ht="51">
      <c r="A589" s="6">
        <v>43442.279224537036</v>
      </c>
      <c r="B589" s="7" t="str">
        <f>HYPERLINK("https://twitter.com/Tesa29053098","@Tesa29053098")</f>
        <v>@Tesa29053098</v>
      </c>
      <c r="C589" s="8" t="s">
        <v>1173</v>
      </c>
      <c r="D589" s="9" t="s">
        <v>1174</v>
      </c>
      <c r="E589" s="10" t="str">
        <f>HYPERLINK("https://twitter.com/Tesa29053098/status/1071278723561910272","1071278723561910272")</f>
        <v>1071278723561910272</v>
      </c>
      <c r="F589" s="11"/>
      <c r="G589" s="12" t="s">
        <v>1176</v>
      </c>
      <c r="H589" s="11"/>
      <c r="I589" s="13">
        <v>95</v>
      </c>
      <c r="J589" s="13">
        <v>82</v>
      </c>
      <c r="K589" s="14" t="str">
        <f t="shared" si="112"/>
        <v>Twitter for Android</v>
      </c>
      <c r="L589" s="13">
        <v>7120</v>
      </c>
      <c r="M589" s="13">
        <v>4667</v>
      </c>
      <c r="N589" s="13">
        <v>28</v>
      </c>
      <c r="O589" s="15"/>
      <c r="P589" s="6">
        <v>42911.874386574069</v>
      </c>
      <c r="Q589" s="18" t="s">
        <v>1177</v>
      </c>
      <c r="R589" s="19" t="s">
        <v>1178</v>
      </c>
      <c r="S589" s="11"/>
      <c r="T589" s="11"/>
      <c r="U589" s="10" t="str">
        <f>HYPERLINK("https://pbs.twimg.com/profile_images/1004644069119840256/P1vsnRTZ.jpg","View")</f>
        <v>View</v>
      </c>
    </row>
    <row r="590" spans="1:21" ht="30.6">
      <c r="A590" s="6">
        <v>43442.273275462961</v>
      </c>
      <c r="B590" s="7" t="str">
        <f>HYPERLINK("https://twitter.com/dia_sevilla","@dia_sevilla")</f>
        <v>@dia_sevilla</v>
      </c>
      <c r="C590" s="8" t="s">
        <v>1180</v>
      </c>
      <c r="D590" s="9" t="s">
        <v>1181</v>
      </c>
      <c r="E590" s="10" t="str">
        <f>HYPERLINK("https://twitter.com/dia_sevilla/status/1071276566301282304","1071276566301282304")</f>
        <v>1071276566301282304</v>
      </c>
      <c r="F590" s="11"/>
      <c r="G590" s="12" t="s">
        <v>1183</v>
      </c>
      <c r="H590" s="11"/>
      <c r="I590" s="13">
        <v>0</v>
      </c>
      <c r="J590" s="13">
        <v>0</v>
      </c>
      <c r="K590" s="14" t="str">
        <f>HYPERLINK("http://twitter.com/download/iphone","Twitter for iPhone")</f>
        <v>Twitter for iPhone</v>
      </c>
      <c r="L590" s="13">
        <v>28</v>
      </c>
      <c r="M590" s="13">
        <v>74</v>
      </c>
      <c r="N590" s="13">
        <v>0</v>
      </c>
      <c r="O590" s="15"/>
      <c r="P590" s="6">
        <v>43277.690509259264</v>
      </c>
      <c r="Q590" s="18" t="s">
        <v>260</v>
      </c>
      <c r="R590" s="19" t="s">
        <v>1184</v>
      </c>
      <c r="S590" s="11"/>
      <c r="T590" s="11"/>
      <c r="U590" s="10" t="str">
        <f>HYPERLINK("https://pbs.twimg.com/profile_images/1011620874313748480/VTR_aI1T.jpg","View")</f>
        <v>View</v>
      </c>
    </row>
    <row r="591" spans="1:21" ht="30.6">
      <c r="A591" s="6">
        <v>43442.259259259255</v>
      </c>
      <c r="B591" s="7" t="str">
        <f>HYPERLINK("https://twitter.com/PBMarbeMalaga","@PBMarbeMalaga")</f>
        <v>@PBMarbeMalaga</v>
      </c>
      <c r="C591" s="8" t="s">
        <v>1635</v>
      </c>
      <c r="D591" s="9" t="s">
        <v>3781</v>
      </c>
      <c r="E591" s="10" t="str">
        <f>HYPERLINK("https://twitter.com/PBMarbeMalaga/status/1071271486550355969","1071271486550355969")</f>
        <v>1071271486550355969</v>
      </c>
      <c r="F591" s="12" t="s">
        <v>3782</v>
      </c>
      <c r="G591" s="11"/>
      <c r="H591" s="11"/>
      <c r="I591" s="13">
        <v>0</v>
      </c>
      <c r="J591" s="13">
        <v>0</v>
      </c>
      <c r="K591" s="14" t="str">
        <f>HYPERLINK("https://javitang.ddns.net","PBMarbeMalaga")</f>
        <v>PBMarbeMalaga</v>
      </c>
      <c r="L591" s="13">
        <v>1316</v>
      </c>
      <c r="M591" s="13">
        <v>1358</v>
      </c>
      <c r="N591" s="13">
        <v>2</v>
      </c>
      <c r="O591" s="15"/>
      <c r="P591" s="6">
        <v>43149.814074074078</v>
      </c>
      <c r="Q591" s="18" t="s">
        <v>1637</v>
      </c>
      <c r="R591" s="19" t="s">
        <v>1638</v>
      </c>
      <c r="S591" s="11"/>
      <c r="T591" s="11"/>
      <c r="U591" s="10" t="str">
        <f>HYPERLINK("https://pbs.twimg.com/profile_images/965296691145531392/sAFnfUu2.jpg","View")</f>
        <v>View</v>
      </c>
    </row>
    <row r="592" spans="1:21" ht="30.6">
      <c r="A592" s="6">
        <v>43442.244953703703</v>
      </c>
      <c r="B592" s="7" t="str">
        <f>HYPERLINK("https://twitter.com/elmundoes","@elmundoes")</f>
        <v>@elmundoes</v>
      </c>
      <c r="C592" s="8" t="s">
        <v>3788</v>
      </c>
      <c r="D592" s="9" t="s">
        <v>743</v>
      </c>
      <c r="E592" s="10" t="str">
        <f>HYPERLINK("https://twitter.com/elmundoes/status/1071266303028195328","1071266303028195328")</f>
        <v>1071266303028195328</v>
      </c>
      <c r="F592" s="12" t="s">
        <v>3425</v>
      </c>
      <c r="G592" s="11"/>
      <c r="H592" s="11"/>
      <c r="I592" s="13">
        <v>299</v>
      </c>
      <c r="J592" s="13">
        <v>1043</v>
      </c>
      <c r="K592" s="14" t="str">
        <f>HYPERLINK("http://www.socialflow.com","SocialFlow")</f>
        <v>SocialFlow</v>
      </c>
      <c r="L592" s="13">
        <v>3199073</v>
      </c>
      <c r="M592" s="13">
        <v>1355</v>
      </c>
      <c r="N592" s="13">
        <v>29607</v>
      </c>
      <c r="O592" s="16" t="s">
        <v>25</v>
      </c>
      <c r="P592" s="6">
        <v>39556.853761574072</v>
      </c>
      <c r="Q592" s="18" t="s">
        <v>42</v>
      </c>
      <c r="R592" s="19" t="s">
        <v>3791</v>
      </c>
      <c r="S592" s="12" t="s">
        <v>3792</v>
      </c>
      <c r="T592" s="11"/>
      <c r="U592" s="10" t="str">
        <f>HYPERLINK("https://pbs.twimg.com/profile_images/959947259780747265/ez18J78k.jpg","View")</f>
        <v>View</v>
      </c>
    </row>
    <row r="593" spans="1:21" ht="40.799999999999997">
      <c r="A593" s="6">
        <v>43442.239756944444</v>
      </c>
      <c r="B593" s="7" t="str">
        <f>HYPERLINK("https://twitter.com/XaviOnFire","@XaviOnFire")</f>
        <v>@XaviOnFire</v>
      </c>
      <c r="C593" s="8" t="s">
        <v>3794</v>
      </c>
      <c r="D593" s="9" t="s">
        <v>879</v>
      </c>
      <c r="E593" s="10" t="str">
        <f>HYPERLINK("https://twitter.com/XaviOnFire/status/1071264418900701184","1071264418900701184")</f>
        <v>1071264418900701184</v>
      </c>
      <c r="F593" s="12" t="s">
        <v>881</v>
      </c>
      <c r="G593" s="11"/>
      <c r="H593" s="11"/>
      <c r="I593" s="13">
        <v>0</v>
      </c>
      <c r="J593" s="13">
        <v>0</v>
      </c>
      <c r="K593" s="14" t="str">
        <f>HYPERLINK("https://buffer.com","Buffer")</f>
        <v>Buffer</v>
      </c>
      <c r="L593" s="13">
        <v>9918</v>
      </c>
      <c r="M593" s="13">
        <v>7380</v>
      </c>
      <c r="N593" s="13">
        <v>42</v>
      </c>
      <c r="O593" s="15"/>
      <c r="P593" s="6">
        <v>41330.707037037035</v>
      </c>
      <c r="Q593" s="11"/>
      <c r="R593" s="19" t="s">
        <v>3796</v>
      </c>
      <c r="S593" s="12" t="s">
        <v>3797</v>
      </c>
      <c r="T593" s="11"/>
      <c r="U593" s="10" t="str">
        <f>HYPERLINK("https://pbs.twimg.com/profile_images/853940160903479296/W491T-6w.jpg","View")</f>
        <v>View</v>
      </c>
    </row>
    <row r="594" spans="1:21" ht="40.799999999999997">
      <c r="A594" s="6">
        <v>43442.236342592594</v>
      </c>
      <c r="B594" s="7" t="str">
        <f>HYPERLINK("https://twitter.com/EvaPesqueraSole","@EvaPesqueraSole")</f>
        <v>@EvaPesqueraSole</v>
      </c>
      <c r="C594" s="8" t="s">
        <v>1185</v>
      </c>
      <c r="D594" s="9" t="s">
        <v>1186</v>
      </c>
      <c r="E594" s="10" t="str">
        <f>HYPERLINK("https://twitter.com/EvaPesqueraSole/status/1071263180909887489","1071263180909887489")</f>
        <v>1071263180909887489</v>
      </c>
      <c r="F594" s="12" t="s">
        <v>1187</v>
      </c>
      <c r="G594" s="11"/>
      <c r="H594" s="11"/>
      <c r="I594" s="13">
        <v>1</v>
      </c>
      <c r="J594" s="13">
        <v>1</v>
      </c>
      <c r="K594" s="14" t="str">
        <f>HYPERLINK("http://twitter.com/download/iphone","Twitter for iPhone")</f>
        <v>Twitter for iPhone</v>
      </c>
      <c r="L594" s="13">
        <v>4942</v>
      </c>
      <c r="M594" s="13">
        <v>5434</v>
      </c>
      <c r="N594" s="13">
        <v>12</v>
      </c>
      <c r="O594" s="15"/>
      <c r="P594" s="6">
        <v>42666.772847222222</v>
      </c>
      <c r="Q594" s="18" t="s">
        <v>1188</v>
      </c>
      <c r="R594" s="19" t="s">
        <v>1189</v>
      </c>
      <c r="S594" s="11"/>
      <c r="T594" s="11"/>
      <c r="U594" s="10" t="str">
        <f>HYPERLINK("https://pbs.twimg.com/profile_images/978256894958735360/o3mhp58I.jpg","View")</f>
        <v>View</v>
      </c>
    </row>
    <row r="595" spans="1:21" ht="20.399999999999999">
      <c r="A595" s="6">
        <v>43442.215115740742</v>
      </c>
      <c r="B595" s="7" t="str">
        <f>HYPERLINK("https://twitter.com/ManuelEsbert","@ManuelEsbert")</f>
        <v>@ManuelEsbert</v>
      </c>
      <c r="C595" s="8" t="s">
        <v>3798</v>
      </c>
      <c r="D595" s="9" t="s">
        <v>3799</v>
      </c>
      <c r="E595" s="10" t="str">
        <f>HYPERLINK("https://twitter.com/ManuelEsbert/status/1071255490330537984","1071255490330537984")</f>
        <v>1071255490330537984</v>
      </c>
      <c r="F595" s="12" t="s">
        <v>3800</v>
      </c>
      <c r="G595" s="11"/>
      <c r="H595" s="11"/>
      <c r="I595" s="13">
        <v>0</v>
      </c>
      <c r="J595" s="13">
        <v>0</v>
      </c>
      <c r="K595" s="14" t="str">
        <f t="shared" ref="K595:K596" si="113">HYPERLINK("http://twitter.com/download/android","Twitter for Android")</f>
        <v>Twitter for Android</v>
      </c>
      <c r="L595" s="13">
        <v>1374</v>
      </c>
      <c r="M595" s="13">
        <v>2251</v>
      </c>
      <c r="N595" s="13">
        <v>33</v>
      </c>
      <c r="O595" s="15"/>
      <c r="P595" s="6">
        <v>40659.820381944446</v>
      </c>
      <c r="Q595" s="18" t="s">
        <v>3801</v>
      </c>
      <c r="R595" s="19" t="s">
        <v>3802</v>
      </c>
      <c r="S595" s="12" t="s">
        <v>3803</v>
      </c>
      <c r="T595" s="11"/>
      <c r="U595" s="10" t="str">
        <f>HYPERLINK("https://pbs.twimg.com/profile_images/995109557037862912/vmqyK71U.jpg","View")</f>
        <v>View</v>
      </c>
    </row>
    <row r="596" spans="1:21" ht="61.2">
      <c r="A596" s="6">
        <v>43442.200960648144</v>
      </c>
      <c r="B596" s="7" t="str">
        <f>HYPERLINK("https://twitter.com/KevsVillarreal","@KevsVillarreal")</f>
        <v>@KevsVillarreal</v>
      </c>
      <c r="C596" s="8" t="s">
        <v>3804</v>
      </c>
      <c r="D596" s="9" t="s">
        <v>3805</v>
      </c>
      <c r="E596" s="10" t="str">
        <f>HYPERLINK("https://twitter.com/KevsVillarreal/status/1071250361778868224","1071250361778868224")</f>
        <v>1071250361778868224</v>
      </c>
      <c r="F596" s="18" t="s">
        <v>3806</v>
      </c>
      <c r="G596" s="11"/>
      <c r="H596" s="11"/>
      <c r="I596" s="13">
        <v>0</v>
      </c>
      <c r="J596" s="13">
        <v>5</v>
      </c>
      <c r="K596" s="14" t="str">
        <f t="shared" si="113"/>
        <v>Twitter for Android</v>
      </c>
      <c r="L596" s="13">
        <v>41</v>
      </c>
      <c r="M596" s="13">
        <v>135</v>
      </c>
      <c r="N596" s="13">
        <v>0</v>
      </c>
      <c r="O596" s="15"/>
      <c r="P596" s="6">
        <v>43417.135034722218</v>
      </c>
      <c r="Q596" s="18" t="s">
        <v>3807</v>
      </c>
      <c r="R596" s="19" t="s">
        <v>3808</v>
      </c>
      <c r="S596" s="11"/>
      <c r="T596" s="11"/>
      <c r="U596" s="10" t="str">
        <f>HYPERLINK("https://pbs.twimg.com/profile_images/1062168741771968513/RG7o3p8t.jpg","View")</f>
        <v>View</v>
      </c>
    </row>
    <row r="597" spans="1:21" ht="40.799999999999997">
      <c r="A597" s="6">
        <v>43442.189212962963</v>
      </c>
      <c r="B597" s="7" t="str">
        <f>HYPERLINK("https://twitter.com/Lachurmafc","@Lachurmafc")</f>
        <v>@Lachurmafc</v>
      </c>
      <c r="C597" s="8" t="s">
        <v>3809</v>
      </c>
      <c r="D597" s="9" t="s">
        <v>3810</v>
      </c>
      <c r="E597" s="10" t="str">
        <f>HYPERLINK("https://twitter.com/Lachurmafc/status/1071246102895181824","1071246102895181824")</f>
        <v>1071246102895181824</v>
      </c>
      <c r="F597" s="12" t="s">
        <v>3811</v>
      </c>
      <c r="G597" s="11"/>
      <c r="H597" s="11"/>
      <c r="I597" s="13">
        <v>0</v>
      </c>
      <c r="J597" s="13">
        <v>0</v>
      </c>
      <c r="K597" s="14" t="str">
        <f>HYPERLINK("https://www.google.com/","Google")</f>
        <v>Google</v>
      </c>
      <c r="L597" s="13">
        <v>472</v>
      </c>
      <c r="M597" s="13">
        <v>695</v>
      </c>
      <c r="N597" s="13">
        <v>5</v>
      </c>
      <c r="O597" s="15"/>
      <c r="P597" s="6">
        <v>41525.063657407409</v>
      </c>
      <c r="Q597" s="18" t="s">
        <v>3812</v>
      </c>
      <c r="R597" s="19" t="s">
        <v>3813</v>
      </c>
      <c r="S597" s="11"/>
      <c r="T597" s="11"/>
      <c r="U597" s="10" t="str">
        <f>HYPERLINK("https://pbs.twimg.com/profile_images/1021999712424153088/MFZAB4I2.jpg","View")</f>
        <v>View</v>
      </c>
    </row>
    <row r="598" spans="1:21" ht="30.6">
      <c r="A598" s="6">
        <v>43442.182175925926</v>
      </c>
      <c r="B598" s="7" t="str">
        <f>HYPERLINK("https://twitter.com/Twittterina","@Twittterina")</f>
        <v>@Twittterina</v>
      </c>
      <c r="C598" s="8" t="s">
        <v>3814</v>
      </c>
      <c r="D598" s="9" t="s">
        <v>3815</v>
      </c>
      <c r="E598" s="10" t="str">
        <f>HYPERLINK("https://twitter.com/Twittterina/status/1071243552800366592","1071243552800366592")</f>
        <v>1071243552800366592</v>
      </c>
      <c r="F598" s="12" t="s">
        <v>2684</v>
      </c>
      <c r="G598" s="11"/>
      <c r="H598" s="11"/>
      <c r="I598" s="13">
        <v>0</v>
      </c>
      <c r="J598" s="13">
        <v>0</v>
      </c>
      <c r="K598" s="14" t="str">
        <f>HYPERLINK("http://twitter.com","Twitter Web Client")</f>
        <v>Twitter Web Client</v>
      </c>
      <c r="L598" s="13">
        <v>493</v>
      </c>
      <c r="M598" s="13">
        <v>298</v>
      </c>
      <c r="N598" s="13">
        <v>26</v>
      </c>
      <c r="O598" s="15"/>
      <c r="P598" s="6">
        <v>41306.190196759257</v>
      </c>
      <c r="Q598" s="18" t="s">
        <v>3816</v>
      </c>
      <c r="R598" s="19" t="s">
        <v>3817</v>
      </c>
      <c r="S598" s="11"/>
      <c r="T598" s="11"/>
      <c r="U598" s="10" t="str">
        <f>HYPERLINK("https://pbs.twimg.com/profile_images/618052588026507264/IG3BpbhZ.jpg","View")</f>
        <v>View</v>
      </c>
    </row>
    <row r="599" spans="1:21" ht="30.6">
      <c r="A599" s="6">
        <v>43442.180532407408</v>
      </c>
      <c r="B599" s="7" t="str">
        <f>HYPERLINK("https://twitter.com/PBMarbeMalaga","@PBMarbeMalaga")</f>
        <v>@PBMarbeMalaga</v>
      </c>
      <c r="C599" s="8" t="s">
        <v>1635</v>
      </c>
      <c r="D599" s="9" t="s">
        <v>3818</v>
      </c>
      <c r="E599" s="10" t="str">
        <f>HYPERLINK("https://twitter.com/PBMarbeMalaga/status/1071242959574704128","1071242959574704128")</f>
        <v>1071242959574704128</v>
      </c>
      <c r="F599" s="12" t="s">
        <v>3819</v>
      </c>
      <c r="G599" s="11"/>
      <c r="H599" s="11"/>
      <c r="I599" s="13">
        <v>0</v>
      </c>
      <c r="J599" s="13">
        <v>0</v>
      </c>
      <c r="K599" s="14" t="str">
        <f>HYPERLINK("https://javitang.ddns.net","PBMarbeMalaga")</f>
        <v>PBMarbeMalaga</v>
      </c>
      <c r="L599" s="13">
        <v>1316</v>
      </c>
      <c r="M599" s="13">
        <v>1358</v>
      </c>
      <c r="N599" s="13">
        <v>2</v>
      </c>
      <c r="O599" s="15"/>
      <c r="P599" s="6">
        <v>43149.814074074078</v>
      </c>
      <c r="Q599" s="18" t="s">
        <v>1637</v>
      </c>
      <c r="R599" s="19" t="s">
        <v>1638</v>
      </c>
      <c r="S599" s="11"/>
      <c r="T599" s="11"/>
      <c r="U599" s="10" t="str">
        <f>HYPERLINK("https://pbs.twimg.com/profile_images/965296691145531392/sAFnfUu2.jpg","View")</f>
        <v>View</v>
      </c>
    </row>
    <row r="600" spans="1:21" ht="40.799999999999997">
      <c r="A600" s="6">
        <v>43442.179942129631</v>
      </c>
      <c r="B600" s="7" t="str">
        <f>HYPERLINK("https://twitter.com/wmasilva","@wmasilva")</f>
        <v>@wmasilva</v>
      </c>
      <c r="C600" s="8" t="s">
        <v>3820</v>
      </c>
      <c r="D600" s="9" t="s">
        <v>1524</v>
      </c>
      <c r="E600" s="10" t="str">
        <f>HYPERLINK("https://twitter.com/wmasilva/status/1071242743211548673","1071242743211548673")</f>
        <v>1071242743211548673</v>
      </c>
      <c r="F600" s="12" t="s">
        <v>1526</v>
      </c>
      <c r="G600" s="11"/>
      <c r="H600" s="11"/>
      <c r="I600" s="13">
        <v>0</v>
      </c>
      <c r="J600" s="13">
        <v>1</v>
      </c>
      <c r="K600" s="14" t="str">
        <f t="shared" ref="K600:K601" si="114">HYPERLINK("http://twitter.com","Twitter Web Client")</f>
        <v>Twitter Web Client</v>
      </c>
      <c r="L600" s="13">
        <v>234</v>
      </c>
      <c r="M600" s="13">
        <v>288</v>
      </c>
      <c r="N600" s="13">
        <v>1</v>
      </c>
      <c r="O600" s="15"/>
      <c r="P600" s="6">
        <v>39783.7894212963</v>
      </c>
      <c r="Q600" s="18" t="s">
        <v>3821</v>
      </c>
      <c r="R600" s="19" t="s">
        <v>3822</v>
      </c>
      <c r="S600" s="11"/>
      <c r="T600" s="11"/>
      <c r="U600" s="10" t="str">
        <f>HYPERLINK("https://pbs.twimg.com/profile_images/1050012677320392705/JCywUXog.jpg","View")</f>
        <v>View</v>
      </c>
    </row>
    <row r="601" spans="1:21" ht="30.6">
      <c r="A601" s="6">
        <v>43442.175486111111</v>
      </c>
      <c r="B601" s="7" t="str">
        <f>HYPERLINK("https://twitter.com/DavidMu94565426","@DavidMu94565426")</f>
        <v>@DavidMu94565426</v>
      </c>
      <c r="C601" s="8" t="s">
        <v>3823</v>
      </c>
      <c r="D601" s="9" t="s">
        <v>3824</v>
      </c>
      <c r="E601" s="10" t="str">
        <f>HYPERLINK("https://twitter.com/DavidMu94565426/status/1071241127678930944","1071241127678930944")</f>
        <v>1071241127678930944</v>
      </c>
      <c r="F601" s="12" t="s">
        <v>3825</v>
      </c>
      <c r="G601" s="11"/>
      <c r="H601" s="11"/>
      <c r="I601" s="13">
        <v>0</v>
      </c>
      <c r="J601" s="13">
        <v>0</v>
      </c>
      <c r="K601" s="14" t="str">
        <f t="shared" si="114"/>
        <v>Twitter Web Client</v>
      </c>
      <c r="L601" s="13">
        <v>19</v>
      </c>
      <c r="M601" s="13">
        <v>100</v>
      </c>
      <c r="N601" s="13">
        <v>0</v>
      </c>
      <c r="O601" s="15"/>
      <c r="P601" s="6">
        <v>43412.726793981477</v>
      </c>
      <c r="Q601" s="11"/>
      <c r="R601" s="19" t="s">
        <v>3826</v>
      </c>
      <c r="S601" s="11"/>
      <c r="T601" s="11"/>
      <c r="U601" s="16" t="s">
        <v>191</v>
      </c>
    </row>
    <row r="602" spans="1:21" ht="20.399999999999999">
      <c r="A602" s="6">
        <v>43442.175000000003</v>
      </c>
      <c r="B602" s="7" t="str">
        <f>HYPERLINK("https://twitter.com/A3Noticias","@A3Noticias")</f>
        <v>@A3Noticias</v>
      </c>
      <c r="C602" s="8" t="s">
        <v>3827</v>
      </c>
      <c r="D602" s="9" t="s">
        <v>3828</v>
      </c>
      <c r="E602" s="10" t="str">
        <f>HYPERLINK("https://twitter.com/A3Noticias/status/1071240952600240129","1071240952600240129")</f>
        <v>1071240952600240129</v>
      </c>
      <c r="F602" s="12" t="s">
        <v>3830</v>
      </c>
      <c r="G602" s="11"/>
      <c r="H602" s="11"/>
      <c r="I602" s="13">
        <v>14</v>
      </c>
      <c r="J602" s="13">
        <v>14</v>
      </c>
      <c r="K602" s="14" t="str">
        <f>HYPERLINK("http://dogtrack.es","DogTrack_Oficial")</f>
        <v>DogTrack_Oficial</v>
      </c>
      <c r="L602" s="13">
        <v>1723922</v>
      </c>
      <c r="M602" s="13">
        <v>407</v>
      </c>
      <c r="N602" s="13">
        <v>8116</v>
      </c>
      <c r="O602" s="16" t="s">
        <v>25</v>
      </c>
      <c r="P602" s="6">
        <v>40318.523495370369</v>
      </c>
      <c r="Q602" s="11"/>
      <c r="R602" s="19" t="s">
        <v>3832</v>
      </c>
      <c r="S602" s="12" t="s">
        <v>3833</v>
      </c>
      <c r="T602" s="11"/>
      <c r="U602" s="10" t="str">
        <f>HYPERLINK("https://pbs.twimg.com/profile_images/1047424467411107840/znEO0bjJ.jpg","View")</f>
        <v>View</v>
      </c>
    </row>
    <row r="603" spans="1:21" ht="71.400000000000006">
      <c r="A603" s="6">
        <v>43442.167129629626</v>
      </c>
      <c r="B603" s="7" t="str">
        <f>HYPERLINK("https://twitter.com/magarci29","@magarci29")</f>
        <v>@magarci29</v>
      </c>
      <c r="C603" s="8" t="s">
        <v>3836</v>
      </c>
      <c r="D603" s="9" t="s">
        <v>3837</v>
      </c>
      <c r="E603" s="10" t="str">
        <f>HYPERLINK("https://twitter.com/magarci29/status/1071238098770649088","1071238098770649088")</f>
        <v>1071238098770649088</v>
      </c>
      <c r="F603" s="18" t="s">
        <v>3442</v>
      </c>
      <c r="G603" s="11"/>
      <c r="H603" s="11"/>
      <c r="I603" s="13">
        <v>0</v>
      </c>
      <c r="J603" s="13">
        <v>0</v>
      </c>
      <c r="K603" s="14" t="str">
        <f>HYPERLINK("http://twitter.com/download/android","Twitter for Android")</f>
        <v>Twitter for Android</v>
      </c>
      <c r="L603" s="13">
        <v>3711</v>
      </c>
      <c r="M603" s="13">
        <v>4997</v>
      </c>
      <c r="N603" s="13">
        <v>17</v>
      </c>
      <c r="O603" s="15"/>
      <c r="P603" s="6">
        <v>41955.042361111111</v>
      </c>
      <c r="Q603" s="18" t="s">
        <v>3840</v>
      </c>
      <c r="R603" s="19" t="s">
        <v>3841</v>
      </c>
      <c r="S603" s="11"/>
      <c r="T603" s="11"/>
      <c r="U603" s="10" t="str">
        <f>HYPERLINK("https://pbs.twimg.com/profile_images/815204945523802113/IzYMa4DI.jpg","View")</f>
        <v>View</v>
      </c>
    </row>
    <row r="604" spans="1:21" ht="40.799999999999997">
      <c r="A604" s="6">
        <v>43442.158182870371</v>
      </c>
      <c r="B604" s="7" t="str">
        <f>HYPERLINK("https://twitter.com/SaenzVarona","@SaenzVarona")</f>
        <v>@SaenzVarona</v>
      </c>
      <c r="C604" s="8" t="s">
        <v>1190</v>
      </c>
      <c r="D604" s="9" t="s">
        <v>1191</v>
      </c>
      <c r="E604" s="10" t="str">
        <f>HYPERLINK("https://twitter.com/SaenzVarona/status/1071234859648077824","1071234859648077824")</f>
        <v>1071234859648077824</v>
      </c>
      <c r="F604" s="11"/>
      <c r="G604" s="12" t="s">
        <v>1192</v>
      </c>
      <c r="H604" s="11"/>
      <c r="I604" s="13">
        <v>1</v>
      </c>
      <c r="J604" s="13">
        <v>0</v>
      </c>
      <c r="K604" s="14" t="str">
        <f t="shared" ref="K604:K605" si="115">HYPERLINK("http://twitter.com","Twitter Web Client")</f>
        <v>Twitter Web Client</v>
      </c>
      <c r="L604" s="13">
        <v>780</v>
      </c>
      <c r="M604" s="13">
        <v>317</v>
      </c>
      <c r="N604" s="13">
        <v>79</v>
      </c>
      <c r="O604" s="15"/>
      <c r="P604" s="6">
        <v>40697.711261574077</v>
      </c>
      <c r="Q604" s="18" t="s">
        <v>1195</v>
      </c>
      <c r="R604" s="19" t="s">
        <v>1196</v>
      </c>
      <c r="S604" s="12" t="s">
        <v>1197</v>
      </c>
      <c r="T604" s="11"/>
      <c r="U604" s="10" t="str">
        <f>HYPERLINK("https://pbs.twimg.com/profile_images/479663832877383680/zm9ZsCqq.jpeg","View")</f>
        <v>View</v>
      </c>
    </row>
    <row r="605" spans="1:21" ht="81.599999999999994">
      <c r="A605" s="6">
        <v>43442.155324074076</v>
      </c>
      <c r="B605" s="7" t="str">
        <f>HYPERLINK("https://twitter.com/Guia_mispasos","@Guia_mispasos")</f>
        <v>@Guia_mispasos</v>
      </c>
      <c r="C605" s="8" t="s">
        <v>1226</v>
      </c>
      <c r="D605" s="9" t="s">
        <v>3850</v>
      </c>
      <c r="E605" s="10" t="str">
        <f>HYPERLINK("https://twitter.com/Guia_mispasos/status/1071233822962974721","1071233822962974721")</f>
        <v>1071233822962974721</v>
      </c>
      <c r="F605" s="18" t="s">
        <v>63</v>
      </c>
      <c r="G605" s="11"/>
      <c r="H605" s="11"/>
      <c r="I605" s="13">
        <v>0</v>
      </c>
      <c r="J605" s="13">
        <v>0</v>
      </c>
      <c r="K605" s="14" t="str">
        <f t="shared" si="115"/>
        <v>Twitter Web Client</v>
      </c>
      <c r="L605" s="13">
        <v>3074</v>
      </c>
      <c r="M605" s="13">
        <v>2404</v>
      </c>
      <c r="N605" s="13">
        <v>42</v>
      </c>
      <c r="O605" s="15"/>
      <c r="P605" s="6">
        <v>39820.470856481479</v>
      </c>
      <c r="Q605" s="18" t="s">
        <v>1230</v>
      </c>
      <c r="R605" s="19" t="s">
        <v>1231</v>
      </c>
      <c r="S605" s="12" t="s">
        <v>1232</v>
      </c>
      <c r="T605" s="11"/>
      <c r="U605" s="10" t="str">
        <f>HYPERLINK("https://pbs.twimg.com/profile_images/845729406119239681/w86jd6JV.jpg","View")</f>
        <v>View</v>
      </c>
    </row>
    <row r="606" spans="1:21" ht="30.6">
      <c r="A606" s="6">
        <v>43442.155289351853</v>
      </c>
      <c r="B606" s="7" t="str">
        <f>HYPERLINK("https://twitter.com/PBMarbeMalaga","@PBMarbeMalaga")</f>
        <v>@PBMarbeMalaga</v>
      </c>
      <c r="C606" s="8" t="s">
        <v>1635</v>
      </c>
      <c r="D606" s="9" t="s">
        <v>3855</v>
      </c>
      <c r="E606" s="10" t="str">
        <f>HYPERLINK("https://twitter.com/PBMarbeMalaga/status/1071233809788616705","1071233809788616705")</f>
        <v>1071233809788616705</v>
      </c>
      <c r="F606" s="12" t="s">
        <v>3856</v>
      </c>
      <c r="G606" s="11"/>
      <c r="H606" s="11"/>
      <c r="I606" s="13">
        <v>0</v>
      </c>
      <c r="J606" s="13">
        <v>0</v>
      </c>
      <c r="K606" s="14" t="str">
        <f>HYPERLINK("https://javitang.ddns.net","PBMarbeMalaga")</f>
        <v>PBMarbeMalaga</v>
      </c>
      <c r="L606" s="13">
        <v>1316</v>
      </c>
      <c r="M606" s="13">
        <v>1358</v>
      </c>
      <c r="N606" s="13">
        <v>2</v>
      </c>
      <c r="O606" s="15"/>
      <c r="P606" s="6">
        <v>43149.814074074078</v>
      </c>
      <c r="Q606" s="18" t="s">
        <v>1637</v>
      </c>
      <c r="R606" s="19" t="s">
        <v>1638</v>
      </c>
      <c r="S606" s="11"/>
      <c r="T606" s="11"/>
      <c r="U606" s="10" t="str">
        <f>HYPERLINK("https://pbs.twimg.com/profile_images/965296691145531392/sAFnfUu2.jpg","View")</f>
        <v>View</v>
      </c>
    </row>
    <row r="607" spans="1:21" ht="20.399999999999999">
      <c r="A607" s="6">
        <v>43442.152858796297</v>
      </c>
      <c r="B607" s="7" t="str">
        <f>HYPERLINK("https://twitter.com/ANTPODEMOS","@ANTPODEMOS")</f>
        <v>@ANTPODEMOS</v>
      </c>
      <c r="C607" s="8" t="s">
        <v>1193</v>
      </c>
      <c r="D607" s="9" t="s">
        <v>3858</v>
      </c>
      <c r="E607" s="10" t="str">
        <f>HYPERLINK("https://twitter.com/ANTPODEMOS/status/1071232930507313153","1071232930507313153")</f>
        <v>1071232930507313153</v>
      </c>
      <c r="F607" s="12" t="s">
        <v>280</v>
      </c>
      <c r="G607" s="11"/>
      <c r="H607" s="11"/>
      <c r="I607" s="13">
        <v>3</v>
      </c>
      <c r="J607" s="13">
        <v>10</v>
      </c>
      <c r="K607" s="14" t="str">
        <f>HYPERLINK("http://www.facebook.com/twitter","Facebook")</f>
        <v>Facebook</v>
      </c>
      <c r="L607" s="13">
        <v>5584</v>
      </c>
      <c r="M607" s="13">
        <v>426</v>
      </c>
      <c r="N607" s="13">
        <v>58</v>
      </c>
      <c r="O607" s="15"/>
      <c r="P607" s="6">
        <v>41956.204837962963</v>
      </c>
      <c r="Q607" s="18" t="s">
        <v>42</v>
      </c>
      <c r="R607" s="19" t="s">
        <v>1198</v>
      </c>
      <c r="S607" s="12" t="s">
        <v>1200</v>
      </c>
      <c r="T607" s="11"/>
      <c r="U607" s="10" t="str">
        <f>HYPERLINK("https://pbs.twimg.com/profile_images/952681544224854017/rVAhotfW.jpg","View")</f>
        <v>View</v>
      </c>
    </row>
    <row r="608" spans="1:21" ht="40.799999999999997">
      <c r="A608" s="6">
        <v>43442.150648148148</v>
      </c>
      <c r="B608" s="7" t="str">
        <f t="shared" ref="B608:B609" si="116">HYPERLINK("https://twitter.com/monnissima","@monnissima")</f>
        <v>@monnissima</v>
      </c>
      <c r="C608" s="8" t="s">
        <v>1199</v>
      </c>
      <c r="D608" s="9" t="s">
        <v>1201</v>
      </c>
      <c r="E608" s="10" t="str">
        <f>HYPERLINK("https://twitter.com/monnissima/status/1071232127709184000","1071232127709184000")</f>
        <v>1071232127709184000</v>
      </c>
      <c r="F608" s="11"/>
      <c r="G608" s="11"/>
      <c r="H608" s="11"/>
      <c r="I608" s="13">
        <v>0</v>
      </c>
      <c r="J608" s="13">
        <v>0</v>
      </c>
      <c r="K608" s="14" t="str">
        <f t="shared" ref="K608:K609" si="117">HYPERLINK("http://twitter.com/download/android","Twitter for Android")</f>
        <v>Twitter for Android</v>
      </c>
      <c r="L608" s="13">
        <v>10857</v>
      </c>
      <c r="M608" s="13">
        <v>9917</v>
      </c>
      <c r="N608" s="13">
        <v>77</v>
      </c>
      <c r="O608" s="15"/>
      <c r="P608" s="6">
        <v>39997.076874999999</v>
      </c>
      <c r="Q608" s="11"/>
      <c r="R608" s="19" t="s">
        <v>1202</v>
      </c>
      <c r="S608" s="12" t="s">
        <v>1203</v>
      </c>
      <c r="T608" s="11"/>
      <c r="U608" s="10" t="str">
        <f t="shared" ref="U608:U609" si="118">HYPERLINK("https://pbs.twimg.com/profile_images/689510954627940352/rz9xXJtn.jpg","View")</f>
        <v>View</v>
      </c>
    </row>
    <row r="609" spans="1:21" ht="51">
      <c r="A609" s="6">
        <v>43442.150648148148</v>
      </c>
      <c r="B609" s="7" t="str">
        <f t="shared" si="116"/>
        <v>@monnissima</v>
      </c>
      <c r="C609" s="8" t="s">
        <v>1199</v>
      </c>
      <c r="D609" s="9" t="s">
        <v>3863</v>
      </c>
      <c r="E609" s="10" t="str">
        <f>HYPERLINK("https://twitter.com/monnissima/status/1071232127705014273","1071232127705014273")</f>
        <v>1071232127705014273</v>
      </c>
      <c r="F609" s="11"/>
      <c r="G609" s="11"/>
      <c r="H609" s="11"/>
      <c r="I609" s="13">
        <v>0</v>
      </c>
      <c r="J609" s="13">
        <v>1</v>
      </c>
      <c r="K609" s="14" t="str">
        <f t="shared" si="117"/>
        <v>Twitter for Android</v>
      </c>
      <c r="L609" s="13">
        <v>10857</v>
      </c>
      <c r="M609" s="13">
        <v>9917</v>
      </c>
      <c r="N609" s="13">
        <v>77</v>
      </c>
      <c r="O609" s="15"/>
      <c r="P609" s="6">
        <v>39997.076874999999</v>
      </c>
      <c r="Q609" s="11"/>
      <c r="R609" s="19" t="s">
        <v>1202</v>
      </c>
      <c r="S609" s="12" t="s">
        <v>1203</v>
      </c>
      <c r="T609" s="11"/>
      <c r="U609" s="10" t="str">
        <f t="shared" si="118"/>
        <v>View</v>
      </c>
    </row>
    <row r="610" spans="1:21" ht="20.399999999999999">
      <c r="A610" s="6">
        <v>43442.145925925928</v>
      </c>
      <c r="B610" s="7" t="str">
        <f>HYPERLINK("https://twitter.com/Periferica_TV","@Periferica_TV")</f>
        <v>@Periferica_TV</v>
      </c>
      <c r="C610" s="8" t="s">
        <v>3868</v>
      </c>
      <c r="D610" s="9" t="s">
        <v>3810</v>
      </c>
      <c r="E610" s="10" t="str">
        <f>HYPERLINK("https://twitter.com/Periferica_TV/status/1071230415158042624","1071230415158042624")</f>
        <v>1071230415158042624</v>
      </c>
      <c r="F610" s="12" t="s">
        <v>3811</v>
      </c>
      <c r="G610" s="11"/>
      <c r="H610" s="11"/>
      <c r="I610" s="13">
        <v>0</v>
      </c>
      <c r="J610" s="13">
        <v>0</v>
      </c>
      <c r="K610" s="14" t="str">
        <f>HYPERLINK("https://www.google.com/","Google")</f>
        <v>Google</v>
      </c>
      <c r="L610" s="13">
        <v>50</v>
      </c>
      <c r="M610" s="13">
        <v>59</v>
      </c>
      <c r="N610" s="13">
        <v>2</v>
      </c>
      <c r="O610" s="15"/>
      <c r="P610" s="6">
        <v>42738.262685185182</v>
      </c>
      <c r="Q610" s="18" t="s">
        <v>3872</v>
      </c>
      <c r="R610" s="19" t="s">
        <v>3873</v>
      </c>
      <c r="S610" s="12" t="s">
        <v>3875</v>
      </c>
      <c r="T610" s="11"/>
      <c r="U610" s="10" t="str">
        <f>HYPERLINK("https://pbs.twimg.com/profile_images/980259883823042560/0uoE9Z9Y.jpg","View")</f>
        <v>View</v>
      </c>
    </row>
    <row r="611" spans="1:21" ht="71.400000000000006">
      <c r="A611" s="6">
        <v>43442.145543981482</v>
      </c>
      <c r="B611" s="7" t="str">
        <f>HYPERLINK("https://twitter.com/JaccDroid","@JaccDroid")</f>
        <v>@JaccDroid</v>
      </c>
      <c r="C611" s="8" t="s">
        <v>1204</v>
      </c>
      <c r="D611" s="9" t="s">
        <v>1205</v>
      </c>
      <c r="E611" s="10" t="str">
        <f>HYPERLINK("https://twitter.com/JaccDroid/status/1071230280353148928","1071230280353148928")</f>
        <v>1071230280353148928</v>
      </c>
      <c r="F611" s="12" t="s">
        <v>1206</v>
      </c>
      <c r="G611" s="11"/>
      <c r="H611" s="11"/>
      <c r="I611" s="13">
        <v>0</v>
      </c>
      <c r="J611" s="13">
        <v>0</v>
      </c>
      <c r="K611" s="14" t="str">
        <f>HYPERLINK("http://twitter.com/download/android","Twitter for Android")</f>
        <v>Twitter for Android</v>
      </c>
      <c r="L611" s="13">
        <v>267</v>
      </c>
      <c r="M611" s="13">
        <v>143</v>
      </c>
      <c r="N611" s="13">
        <v>2</v>
      </c>
      <c r="O611" s="15"/>
      <c r="P611" s="6">
        <v>42528.963680555556</v>
      </c>
      <c r="Q611" s="11"/>
      <c r="R611" s="17"/>
      <c r="S611" s="11"/>
      <c r="T611" s="11"/>
      <c r="U611" s="10" t="str">
        <f>HYPERLINK("https://pbs.twimg.com/profile_images/998932459642273793/_56fdRQo.jpg","View")</f>
        <v>View</v>
      </c>
    </row>
    <row r="612" spans="1:21" ht="51">
      <c r="A612" s="6">
        <v>43442.14539351852</v>
      </c>
      <c r="B612" s="7" t="str">
        <f>HYPERLINK("https://twitter.com/StarBut63455464","@StarBut63455464")</f>
        <v>@StarBut63455464</v>
      </c>
      <c r="C612" s="8" t="s">
        <v>1213</v>
      </c>
      <c r="D612" s="9" t="s">
        <v>1214</v>
      </c>
      <c r="E612" s="10" t="str">
        <f>HYPERLINK("https://twitter.com/StarBut63455464/status/1071230225386758145","1071230225386758145")</f>
        <v>1071230225386758145</v>
      </c>
      <c r="F612" s="11"/>
      <c r="G612" s="11"/>
      <c r="H612" s="11"/>
      <c r="I612" s="13">
        <v>0</v>
      </c>
      <c r="J612" s="13">
        <v>0</v>
      </c>
      <c r="K612" s="14" t="str">
        <f>HYPERLINK("http://twitter.com/download/iphone","Twitter for iPhone")</f>
        <v>Twitter for iPhone</v>
      </c>
      <c r="L612" s="13">
        <v>63</v>
      </c>
      <c r="M612" s="13">
        <v>109</v>
      </c>
      <c r="N612" s="13">
        <v>0</v>
      </c>
      <c r="O612" s="15"/>
      <c r="P612" s="6">
        <v>43322.544629629629</v>
      </c>
      <c r="Q612" s="11"/>
      <c r="R612" s="17"/>
      <c r="S612" s="11"/>
      <c r="T612" s="11"/>
      <c r="U612" s="10" t="str">
        <f>HYPERLINK("https://pbs.twimg.com/profile_images/1027874980502151169/UDAvrnaF.jpg","View")</f>
        <v>View</v>
      </c>
    </row>
    <row r="613" spans="1:21" ht="112.2">
      <c r="A613" s="6">
        <v>43442.144768518519</v>
      </c>
      <c r="B613" s="7" t="str">
        <f>HYPERLINK("https://twitter.com/LOCOCOMIO","@LOCOCOMIO")</f>
        <v>@LOCOCOMIO</v>
      </c>
      <c r="C613" s="8" t="s">
        <v>3882</v>
      </c>
      <c r="D613" s="9" t="s">
        <v>3883</v>
      </c>
      <c r="E613" s="10" t="str">
        <f>HYPERLINK("https://twitter.com/LOCOCOMIO/status/1071229997589938176","1071229997589938176")</f>
        <v>1071229997589938176</v>
      </c>
      <c r="F613" s="12" t="s">
        <v>3885</v>
      </c>
      <c r="G613" s="11"/>
      <c r="H613" s="11"/>
      <c r="I613" s="13">
        <v>0</v>
      </c>
      <c r="J613" s="13">
        <v>0</v>
      </c>
      <c r="K613" s="14" t="str">
        <f>HYPERLINK("http://twitter.com/download/android","Twitter for Android")</f>
        <v>Twitter for Android</v>
      </c>
      <c r="L613" s="13">
        <v>2013</v>
      </c>
      <c r="M613" s="13">
        <v>971</v>
      </c>
      <c r="N613" s="13">
        <v>25</v>
      </c>
      <c r="O613" s="15"/>
      <c r="P613" s="6">
        <v>41370.017476851848</v>
      </c>
      <c r="Q613" s="11"/>
      <c r="R613" s="17"/>
      <c r="S613" s="11"/>
      <c r="T613" s="11"/>
      <c r="U613" s="10" t="str">
        <f>HYPERLINK("https://pbs.twimg.com/profile_images/993912901781086209/9UtBUnUy.jpg","View")</f>
        <v>View</v>
      </c>
    </row>
    <row r="614" spans="1:21" ht="30.6">
      <c r="A614" s="6">
        <v>43442.139872685184</v>
      </c>
      <c r="B614" s="7" t="str">
        <f>HYPERLINK("https://twitter.com/IGalJam","@IGalJam")</f>
        <v>@IGalJam</v>
      </c>
      <c r="C614" s="8" t="s">
        <v>3888</v>
      </c>
      <c r="D614" s="9" t="s">
        <v>3889</v>
      </c>
      <c r="E614" s="10" t="str">
        <f>HYPERLINK("https://twitter.com/IGalJam/status/1071228221520207873","1071228221520207873")</f>
        <v>1071228221520207873</v>
      </c>
      <c r="F614" s="12" t="s">
        <v>280</v>
      </c>
      <c r="G614" s="11"/>
      <c r="H614" s="11"/>
      <c r="I614" s="13">
        <v>0</v>
      </c>
      <c r="J614" s="13">
        <v>1</v>
      </c>
      <c r="K614" s="14" t="str">
        <f>HYPERLINK("http://twitter.com","Twitter Web Client")</f>
        <v>Twitter Web Client</v>
      </c>
      <c r="L614" s="13">
        <v>279</v>
      </c>
      <c r="M614" s="13">
        <v>1289</v>
      </c>
      <c r="N614" s="13">
        <v>7</v>
      </c>
      <c r="O614" s="15"/>
      <c r="P614" s="6">
        <v>41501.708043981482</v>
      </c>
      <c r="Q614" s="18" t="s">
        <v>3894</v>
      </c>
      <c r="R614" s="19" t="s">
        <v>3895</v>
      </c>
      <c r="S614" s="11"/>
      <c r="T614" s="11"/>
      <c r="U614" s="10" t="str">
        <f>HYPERLINK("https://pbs.twimg.com/profile_images/975310770576687105/R297QtCB.jpg","View")</f>
        <v>View</v>
      </c>
    </row>
    <row r="615" spans="1:21" ht="40.799999999999997">
      <c r="A615" s="6">
        <v>43442.137465277774</v>
      </c>
      <c r="B615" s="7" t="str">
        <f>HYPERLINK("https://twitter.com/curiosoooi","@curiosoooi")</f>
        <v>@curiosoooi</v>
      </c>
      <c r="C615" s="8" t="s">
        <v>1929</v>
      </c>
      <c r="D615" s="9" t="s">
        <v>3898</v>
      </c>
      <c r="E615" s="10" t="str">
        <f>HYPERLINK("https://twitter.com/curiosoooi/status/1071227351042801666","1071227351042801666")</f>
        <v>1071227351042801666</v>
      </c>
      <c r="F615" s="11"/>
      <c r="G615" s="12" t="s">
        <v>3899</v>
      </c>
      <c r="H615" s="11"/>
      <c r="I615" s="13">
        <v>13</v>
      </c>
      <c r="J615" s="13">
        <v>20</v>
      </c>
      <c r="K615" s="14" t="str">
        <f>HYPERLINK("http://twitter.com/download/android","Twitter for Android")</f>
        <v>Twitter for Android</v>
      </c>
      <c r="L615" s="13">
        <v>2294</v>
      </c>
      <c r="M615" s="13">
        <v>2441</v>
      </c>
      <c r="N615" s="13">
        <v>7</v>
      </c>
      <c r="O615" s="15"/>
      <c r="P615" s="6">
        <v>41113.212256944447</v>
      </c>
      <c r="Q615" s="11"/>
      <c r="R615" s="19" t="s">
        <v>1936</v>
      </c>
      <c r="S615" s="11"/>
      <c r="T615" s="11"/>
      <c r="U615" s="10" t="str">
        <f>HYPERLINK("https://pbs.twimg.com/profile_images/957872407733329920/CA8lCXFg.jpg","View")</f>
        <v>View</v>
      </c>
    </row>
    <row r="616" spans="1:21" ht="20.399999999999999">
      <c r="A616" s="6">
        <v>43442.135497685187</v>
      </c>
      <c r="B616" s="7" t="str">
        <f>HYPERLINK("https://twitter.com/Africanpower777","@Africanpower777")</f>
        <v>@Africanpower777</v>
      </c>
      <c r="C616" s="8" t="s">
        <v>172</v>
      </c>
      <c r="D616" s="9" t="s">
        <v>3903</v>
      </c>
      <c r="E616" s="10" t="str">
        <f>HYPERLINK("https://twitter.com/Africanpower777/status/1071226637616857093","1071226637616857093")</f>
        <v>1071226637616857093</v>
      </c>
      <c r="F616" s="12" t="s">
        <v>403</v>
      </c>
      <c r="G616" s="11"/>
      <c r="H616" s="11"/>
      <c r="I616" s="13">
        <v>0</v>
      </c>
      <c r="J616" s="13">
        <v>0</v>
      </c>
      <c r="K616" s="14" t="str">
        <f>HYPERLINK("http://www.facebook.com/twitter","Facebook")</f>
        <v>Facebook</v>
      </c>
      <c r="L616" s="13">
        <v>1086</v>
      </c>
      <c r="M616" s="13">
        <v>1892</v>
      </c>
      <c r="N616" s="13">
        <v>0</v>
      </c>
      <c r="O616" s="15"/>
      <c r="P616" s="6">
        <v>41244.488854166666</v>
      </c>
      <c r="Q616" s="18" t="s">
        <v>178</v>
      </c>
      <c r="R616" s="19" t="s">
        <v>179</v>
      </c>
      <c r="S616" s="12" t="s">
        <v>180</v>
      </c>
      <c r="T616" s="11"/>
      <c r="U616" s="10" t="str">
        <f>HYPERLINK("https://pbs.twimg.com/profile_images/726539565691973634/sAVmoxf6.jpg","View")</f>
        <v>View</v>
      </c>
    </row>
    <row r="617" spans="1:21" ht="51">
      <c r="A617" s="6">
        <v>43442.132777777777</v>
      </c>
      <c r="B617" s="7" t="str">
        <f>HYPERLINK("https://twitter.com/Sevilla24H","@Sevilla24H")</f>
        <v>@Sevilla24H</v>
      </c>
      <c r="C617" s="8" t="s">
        <v>3910</v>
      </c>
      <c r="D617" s="9" t="s">
        <v>3911</v>
      </c>
      <c r="E617" s="10" t="str">
        <f>HYPERLINK("https://twitter.com/Sevilla24H/status/1071225649900253185","1071225649900253185")</f>
        <v>1071225649900253185</v>
      </c>
      <c r="F617" s="12" t="s">
        <v>3915</v>
      </c>
      <c r="G617" s="11"/>
      <c r="H617" s="11"/>
      <c r="I617" s="13">
        <v>0</v>
      </c>
      <c r="J617" s="13">
        <v>0</v>
      </c>
      <c r="K617" s="14" t="str">
        <f>HYPERLINK("https://ifttt.com","IFTTT")</f>
        <v>IFTTT</v>
      </c>
      <c r="L617" s="13">
        <v>511</v>
      </c>
      <c r="M617" s="13">
        <v>750</v>
      </c>
      <c r="N617" s="13">
        <v>11</v>
      </c>
      <c r="O617" s="15"/>
      <c r="P617" s="6">
        <v>41294.599583333329</v>
      </c>
      <c r="Q617" s="18" t="s">
        <v>964</v>
      </c>
      <c r="R617" s="19" t="s">
        <v>3916</v>
      </c>
      <c r="S617" s="12" t="s">
        <v>3919</v>
      </c>
      <c r="T617" s="11"/>
      <c r="U617" s="10" t="str">
        <f>HYPERLINK("https://pbs.twimg.com/profile_images/833777334108975104/fgeZLBXg.jpg","View")</f>
        <v>View</v>
      </c>
    </row>
    <row r="618" spans="1:21" ht="30.6">
      <c r="A618" s="6">
        <v>43442.130775462967</v>
      </c>
      <c r="B618" s="7" t="str">
        <f>HYPERLINK("https://twitter.com/PBMarbeMalaga","@PBMarbeMalaga")</f>
        <v>@PBMarbeMalaga</v>
      </c>
      <c r="C618" s="8" t="s">
        <v>1635</v>
      </c>
      <c r="D618" s="9" t="s">
        <v>3921</v>
      </c>
      <c r="E618" s="10" t="str">
        <f>HYPERLINK("https://twitter.com/PBMarbeMalaga/status/1071224927590719488","1071224927590719488")</f>
        <v>1071224927590719488</v>
      </c>
      <c r="F618" s="12" t="s">
        <v>3923</v>
      </c>
      <c r="G618" s="11"/>
      <c r="H618" s="11"/>
      <c r="I618" s="13">
        <v>0</v>
      </c>
      <c r="J618" s="13">
        <v>0</v>
      </c>
      <c r="K618" s="14" t="str">
        <f>HYPERLINK("https://javitang.ddns.net","PBMarbeMalaga")</f>
        <v>PBMarbeMalaga</v>
      </c>
      <c r="L618" s="13">
        <v>1316</v>
      </c>
      <c r="M618" s="13">
        <v>1358</v>
      </c>
      <c r="N618" s="13">
        <v>2</v>
      </c>
      <c r="O618" s="15"/>
      <c r="P618" s="6">
        <v>43149.814074074078</v>
      </c>
      <c r="Q618" s="18" t="s">
        <v>1637</v>
      </c>
      <c r="R618" s="19" t="s">
        <v>1638</v>
      </c>
      <c r="S618" s="11"/>
      <c r="T618" s="11"/>
      <c r="U618" s="10" t="str">
        <f>HYPERLINK("https://pbs.twimg.com/profile_images/965296691145531392/sAFnfUu2.jpg","View")</f>
        <v>View</v>
      </c>
    </row>
    <row r="619" spans="1:21" ht="40.799999999999997">
      <c r="A619" s="6">
        <v>43442.127847222218</v>
      </c>
      <c r="B619" s="7" t="str">
        <f>HYPERLINK("https://twitter.com/jatirado","@jatirado")</f>
        <v>@jatirado</v>
      </c>
      <c r="C619" s="8" t="s">
        <v>3926</v>
      </c>
      <c r="D619" s="9" t="s">
        <v>743</v>
      </c>
      <c r="E619" s="10" t="str">
        <f>HYPERLINK("https://twitter.com/jatirado/status/1071223865240506369","1071223865240506369")</f>
        <v>1071223865240506369</v>
      </c>
      <c r="F619" s="12" t="s">
        <v>3927</v>
      </c>
      <c r="G619" s="12" t="s">
        <v>3929</v>
      </c>
      <c r="H619" s="11"/>
      <c r="I619" s="13">
        <v>6</v>
      </c>
      <c r="J619" s="13">
        <v>11</v>
      </c>
      <c r="K619" s="14" t="str">
        <f>HYPERLINK("https://dlvrit.com/","dlvr.it")</f>
        <v>dlvr.it</v>
      </c>
      <c r="L619" s="13">
        <v>81545</v>
      </c>
      <c r="M619" s="13">
        <v>49760</v>
      </c>
      <c r="N619" s="13">
        <v>1030</v>
      </c>
      <c r="O619" s="15"/>
      <c r="P619" s="6">
        <v>40353.552581018521</v>
      </c>
      <c r="Q619" s="18" t="s">
        <v>307</v>
      </c>
      <c r="R619" s="19" t="s">
        <v>3931</v>
      </c>
      <c r="S619" s="12" t="s">
        <v>3932</v>
      </c>
      <c r="T619" s="11"/>
      <c r="U619" s="10" t="str">
        <f>HYPERLINK("https://pbs.twimg.com/profile_images/485680559742791680/dg68o8vH.jpeg","View")</f>
        <v>View</v>
      </c>
    </row>
    <row r="620" spans="1:21" ht="30.6">
      <c r="A620" s="6">
        <v>43442.127245370371</v>
      </c>
      <c r="B620" s="7" t="str">
        <f>HYPERLINK("https://twitter.com/aemartinn","@aemartinn")</f>
        <v>@aemartinn</v>
      </c>
      <c r="C620" s="8" t="s">
        <v>3934</v>
      </c>
      <c r="D620" s="9" t="s">
        <v>3154</v>
      </c>
      <c r="E620" s="10" t="str">
        <f>HYPERLINK("https://twitter.com/aemartinn/status/1071223646918725642","1071223646918725642")</f>
        <v>1071223646918725642</v>
      </c>
      <c r="F620" s="12" t="s">
        <v>712</v>
      </c>
      <c r="G620" s="11"/>
      <c r="H620" s="11"/>
      <c r="I620" s="13">
        <v>2</v>
      </c>
      <c r="J620" s="13">
        <v>0</v>
      </c>
      <c r="K620" s="14" t="str">
        <f>HYPERLINK("http://twitter.com/download/iphone","Twitter for iPhone")</f>
        <v>Twitter for iPhone</v>
      </c>
      <c r="L620" s="13">
        <v>21502</v>
      </c>
      <c r="M620" s="13">
        <v>11612</v>
      </c>
      <c r="N620" s="13">
        <v>92</v>
      </c>
      <c r="O620" s="15"/>
      <c r="P620" s="6">
        <v>41038.203113425923</v>
      </c>
      <c r="Q620" s="18" t="s">
        <v>3937</v>
      </c>
      <c r="R620" s="17"/>
      <c r="S620" s="11"/>
      <c r="T620" s="11"/>
      <c r="U620" s="10" t="str">
        <f>HYPERLINK("https://pbs.twimg.com/profile_images/2203346573/image.jpg","View")</f>
        <v>View</v>
      </c>
    </row>
    <row r="621" spans="1:21" ht="122.4">
      <c r="A621" s="6">
        <v>43442.125219907408</v>
      </c>
      <c r="B621" s="7" t="str">
        <f>HYPERLINK("https://twitter.com/LOCOCOMIO","@LOCOCOMIO")</f>
        <v>@LOCOCOMIO</v>
      </c>
      <c r="C621" s="8" t="s">
        <v>3882</v>
      </c>
      <c r="D621" s="9" t="s">
        <v>3941</v>
      </c>
      <c r="E621" s="10" t="str">
        <f>HYPERLINK("https://twitter.com/LOCOCOMIO/status/1071222911313305600","1071222911313305600")</f>
        <v>1071222911313305600</v>
      </c>
      <c r="F621" s="12" t="s">
        <v>3942</v>
      </c>
      <c r="G621" s="11"/>
      <c r="H621" s="11"/>
      <c r="I621" s="13">
        <v>0</v>
      </c>
      <c r="J621" s="13">
        <v>1</v>
      </c>
      <c r="K621" s="14" t="str">
        <f>HYPERLINK("http://twitter.com/download/android","Twitter for Android")</f>
        <v>Twitter for Android</v>
      </c>
      <c r="L621" s="13">
        <v>2013</v>
      </c>
      <c r="M621" s="13">
        <v>971</v>
      </c>
      <c r="N621" s="13">
        <v>25</v>
      </c>
      <c r="O621" s="15"/>
      <c r="P621" s="6">
        <v>41370.017476851848</v>
      </c>
      <c r="Q621" s="11"/>
      <c r="R621" s="17"/>
      <c r="S621" s="11"/>
      <c r="T621" s="11"/>
      <c r="U621" s="10" t="str">
        <f>HYPERLINK("https://pbs.twimg.com/profile_images/993912901781086209/9UtBUnUy.jpg","View")</f>
        <v>View</v>
      </c>
    </row>
    <row r="622" spans="1:21" ht="30.6">
      <c r="A622" s="6">
        <v>43442.12054398148</v>
      </c>
      <c r="B622" s="7" t="str">
        <f>HYPERLINK("https://twitter.com/AmerHoy","@AmerHoy")</f>
        <v>@AmerHoy</v>
      </c>
      <c r="C622" s="8" t="s">
        <v>3945</v>
      </c>
      <c r="D622" s="9" t="s">
        <v>743</v>
      </c>
      <c r="E622" s="10" t="str">
        <f>HYPERLINK("https://twitter.com/AmerHoy/status/1071221219058319360","1071221219058319360")</f>
        <v>1071221219058319360</v>
      </c>
      <c r="F622" s="12" t="s">
        <v>3947</v>
      </c>
      <c r="G622" s="12" t="s">
        <v>3948</v>
      </c>
      <c r="H622" s="11"/>
      <c r="I622" s="13">
        <v>0</v>
      </c>
      <c r="J622" s="13">
        <v>0</v>
      </c>
      <c r="K622" s="14" t="str">
        <f>HYPERLINK("https://dlvrit.com/","dlvr.it")</f>
        <v>dlvr.it</v>
      </c>
      <c r="L622" s="13">
        <v>187</v>
      </c>
      <c r="M622" s="13">
        <v>356</v>
      </c>
      <c r="N622" s="13">
        <v>3</v>
      </c>
      <c r="O622" s="15"/>
      <c r="P622" s="6">
        <v>40512.88244212963</v>
      </c>
      <c r="Q622" s="18" t="s">
        <v>3949</v>
      </c>
      <c r="R622" s="19" t="s">
        <v>3950</v>
      </c>
      <c r="S622" s="12" t="s">
        <v>3951</v>
      </c>
      <c r="T622" s="11"/>
      <c r="U622" s="10" t="str">
        <f>HYPERLINK("https://pbs.twimg.com/profile_images/608256845744996352/H8VQC3as.jpg","View")</f>
        <v>View</v>
      </c>
    </row>
    <row r="623" spans="1:21" ht="51">
      <c r="A623" s="6">
        <v>43442.117465277777</v>
      </c>
      <c r="B623" s="7" t="str">
        <f>HYPERLINK("https://twitter.com/RafaelC77064970","@RafaelC77064970")</f>
        <v>@RafaelC77064970</v>
      </c>
      <c r="C623" s="8" t="s">
        <v>1217</v>
      </c>
      <c r="D623" s="9" t="s">
        <v>1219</v>
      </c>
      <c r="E623" s="10" t="str">
        <f>HYPERLINK("https://twitter.com/RafaelC77064970/status/1071220101184139264","1071220101184139264")</f>
        <v>1071220101184139264</v>
      </c>
      <c r="F623" s="11"/>
      <c r="G623" s="12" t="s">
        <v>1223</v>
      </c>
      <c r="H623" s="11"/>
      <c r="I623" s="13">
        <v>0</v>
      </c>
      <c r="J623" s="13">
        <v>0</v>
      </c>
      <c r="K623" s="14" t="str">
        <f>HYPERLINK("http://twitter.com/download/android","Twitter for Android")</f>
        <v>Twitter for Android</v>
      </c>
      <c r="L623" s="13">
        <v>4015</v>
      </c>
      <c r="M623" s="13">
        <v>4813</v>
      </c>
      <c r="N623" s="13">
        <v>20</v>
      </c>
      <c r="O623" s="15"/>
      <c r="P623" s="6">
        <v>41994.041331018518</v>
      </c>
      <c r="Q623" s="18" t="s">
        <v>942</v>
      </c>
      <c r="R623" s="19" t="s">
        <v>1224</v>
      </c>
      <c r="S623" s="11"/>
      <c r="T623" s="11"/>
      <c r="U623" s="10" t="str">
        <f>HYPERLINK("https://pbs.twimg.com/profile_images/884881821128851459/E1Lt7Fh9.jpg","View")</f>
        <v>View</v>
      </c>
    </row>
    <row r="624" spans="1:21" ht="20.399999999999999">
      <c r="A624" s="6">
        <v>43442.115127314813</v>
      </c>
      <c r="B624" s="7" t="str">
        <f>HYPERLINK("https://twitter.com/afrvet","@afrvet")</f>
        <v>@afrvet</v>
      </c>
      <c r="C624" s="8" t="s">
        <v>3955</v>
      </c>
      <c r="D624" s="9" t="s">
        <v>3956</v>
      </c>
      <c r="E624" s="10" t="str">
        <f>HYPERLINK("https://twitter.com/afrvet/status/1071219256317091840","1071219256317091840")</f>
        <v>1071219256317091840</v>
      </c>
      <c r="F624" s="12" t="s">
        <v>3957</v>
      </c>
      <c r="G624" s="11"/>
      <c r="H624" s="11"/>
      <c r="I624" s="13">
        <v>0</v>
      </c>
      <c r="J624" s="13">
        <v>0</v>
      </c>
      <c r="K624" s="14" t="str">
        <f>HYPERLINK("http://twitter.com","Twitter Web Client")</f>
        <v>Twitter Web Client</v>
      </c>
      <c r="L624" s="13">
        <v>2013</v>
      </c>
      <c r="M624" s="13">
        <v>1525</v>
      </c>
      <c r="N624" s="13">
        <v>26</v>
      </c>
      <c r="O624" s="15"/>
      <c r="P624" s="6">
        <v>40000.540173611109</v>
      </c>
      <c r="Q624" s="18" t="s">
        <v>3959</v>
      </c>
      <c r="R624" s="17"/>
      <c r="S624" s="11"/>
      <c r="T624" s="11"/>
      <c r="U624" s="10" t="str">
        <f>HYPERLINK("https://pbs.twimg.com/profile_images/929461322105925633/P_CtDrkl.jpg","View")</f>
        <v>View</v>
      </c>
    </row>
    <row r="625" spans="1:21" ht="51">
      <c r="A625" s="6">
        <v>43442.112407407403</v>
      </c>
      <c r="B625" s="7" t="str">
        <f>HYPERLINK("https://twitter.com/PeterTheTool","@PeterTheTool")</f>
        <v>@PeterTheTool</v>
      </c>
      <c r="C625" s="8" t="s">
        <v>3962</v>
      </c>
      <c r="D625" s="9" t="s">
        <v>3963</v>
      </c>
      <c r="E625" s="10" t="str">
        <f>HYPERLINK("https://twitter.com/PeterTheTool/status/1071218270328492033","1071218270328492033")</f>
        <v>1071218270328492033</v>
      </c>
      <c r="F625" s="11"/>
      <c r="G625" s="11"/>
      <c r="H625" s="11"/>
      <c r="I625" s="13">
        <v>0</v>
      </c>
      <c r="J625" s="13">
        <v>1</v>
      </c>
      <c r="K625" s="14" t="str">
        <f>HYPERLINK("http://twitter.com/download/android","Twitter for Android")</f>
        <v>Twitter for Android</v>
      </c>
      <c r="L625" s="13">
        <v>502</v>
      </c>
      <c r="M625" s="13">
        <v>428</v>
      </c>
      <c r="N625" s="13">
        <v>32</v>
      </c>
      <c r="O625" s="15"/>
      <c r="P625" s="6">
        <v>40271.571354166663</v>
      </c>
      <c r="Q625" s="11"/>
      <c r="R625" s="17"/>
      <c r="S625" s="12" t="s">
        <v>3965</v>
      </c>
      <c r="T625" s="11"/>
      <c r="U625" s="10" t="str">
        <f>HYPERLINK("https://pbs.twimg.com/profile_images/822568821/20.jpg","View")</f>
        <v>View</v>
      </c>
    </row>
    <row r="626" spans="1:21" ht="91.8">
      <c r="A626" s="6">
        <v>43442.111215277779</v>
      </c>
      <c r="B626" s="7" t="str">
        <f t="shared" ref="B626:B627" si="119">HYPERLINK("https://twitter.com/Guia_mispasos","@Guia_mispasos")</f>
        <v>@Guia_mispasos</v>
      </c>
      <c r="C626" s="8" t="s">
        <v>1226</v>
      </c>
      <c r="D626" s="9" t="s">
        <v>1227</v>
      </c>
      <c r="E626" s="10" t="str">
        <f>HYPERLINK("https://twitter.com/Guia_mispasos/status/1071217838235545600","1071217838235545600")</f>
        <v>1071217838235545600</v>
      </c>
      <c r="F626" s="18" t="s">
        <v>1228</v>
      </c>
      <c r="G626" s="12" t="s">
        <v>1229</v>
      </c>
      <c r="H626" s="11"/>
      <c r="I626" s="13">
        <v>0</v>
      </c>
      <c r="J626" s="13">
        <v>0</v>
      </c>
      <c r="K626" s="14" t="str">
        <f t="shared" ref="K626:K627" si="120">HYPERLINK("http://twitter.com","Twitter Web Client")</f>
        <v>Twitter Web Client</v>
      </c>
      <c r="L626" s="13">
        <v>3074</v>
      </c>
      <c r="M626" s="13">
        <v>2404</v>
      </c>
      <c r="N626" s="13">
        <v>42</v>
      </c>
      <c r="O626" s="15"/>
      <c r="P626" s="6">
        <v>39820.470856481479</v>
      </c>
      <c r="Q626" s="18" t="s">
        <v>1230</v>
      </c>
      <c r="R626" s="19" t="s">
        <v>1231</v>
      </c>
      <c r="S626" s="12" t="s">
        <v>1232</v>
      </c>
      <c r="T626" s="11"/>
      <c r="U626" s="10" t="str">
        <f t="shared" ref="U626:U627" si="121">HYPERLINK("https://pbs.twimg.com/profile_images/845729406119239681/w86jd6JV.jpg","View")</f>
        <v>View</v>
      </c>
    </row>
    <row r="627" spans="1:21" ht="81.599999999999994">
      <c r="A627" s="6">
        <v>43442.110254629632</v>
      </c>
      <c r="B627" s="7" t="str">
        <f t="shared" si="119"/>
        <v>@Guia_mispasos</v>
      </c>
      <c r="C627" s="8" t="s">
        <v>1226</v>
      </c>
      <c r="D627" s="9" t="s">
        <v>1235</v>
      </c>
      <c r="E627" s="10" t="str">
        <f>HYPERLINK("https://twitter.com/Guia_mispasos/status/1071217489487499264","1071217489487499264")</f>
        <v>1071217489487499264</v>
      </c>
      <c r="F627" s="18" t="s">
        <v>1236</v>
      </c>
      <c r="G627" s="11"/>
      <c r="H627" s="11"/>
      <c r="I627" s="13">
        <v>0</v>
      </c>
      <c r="J627" s="13">
        <v>0</v>
      </c>
      <c r="K627" s="14" t="str">
        <f t="shared" si="120"/>
        <v>Twitter Web Client</v>
      </c>
      <c r="L627" s="13">
        <v>3074</v>
      </c>
      <c r="M627" s="13">
        <v>2404</v>
      </c>
      <c r="N627" s="13">
        <v>42</v>
      </c>
      <c r="O627" s="15"/>
      <c r="P627" s="6">
        <v>39820.470856481479</v>
      </c>
      <c r="Q627" s="18" t="s">
        <v>1230</v>
      </c>
      <c r="R627" s="19" t="s">
        <v>1231</v>
      </c>
      <c r="S627" s="12" t="s">
        <v>1232</v>
      </c>
      <c r="T627" s="11"/>
      <c r="U627" s="10" t="str">
        <f t="shared" si="121"/>
        <v>View</v>
      </c>
    </row>
    <row r="628" spans="1:21" ht="51">
      <c r="A628" s="6">
        <v>43442.097245370373</v>
      </c>
      <c r="B628" s="7" t="str">
        <f>HYPERLINK("https://twitter.com/Duelelab","@Duelelab")</f>
        <v>@Duelelab</v>
      </c>
      <c r="C628" s="8" t="s">
        <v>3972</v>
      </c>
      <c r="D628" s="9" t="s">
        <v>3973</v>
      </c>
      <c r="E628" s="10" t="str">
        <f>HYPERLINK("https://twitter.com/Duelelab/status/1071212774083170304","1071212774083170304")</f>
        <v>1071212774083170304</v>
      </c>
      <c r="F628" s="11"/>
      <c r="G628" s="12" t="s">
        <v>3974</v>
      </c>
      <c r="H628" s="11"/>
      <c r="I628" s="13">
        <v>13</v>
      </c>
      <c r="J628" s="13">
        <v>13</v>
      </c>
      <c r="K628" s="14" t="str">
        <f>HYPERLINK("http://twitter.com/download/android","Twitter for Android")</f>
        <v>Twitter for Android</v>
      </c>
      <c r="L628" s="13">
        <v>10201</v>
      </c>
      <c r="M628" s="13">
        <v>3426</v>
      </c>
      <c r="N628" s="13">
        <v>102</v>
      </c>
      <c r="O628" s="15"/>
      <c r="P628" s="6">
        <v>41830.764004629629</v>
      </c>
      <c r="Q628" s="11"/>
      <c r="R628" s="19" t="s">
        <v>3977</v>
      </c>
      <c r="S628" s="11"/>
      <c r="T628" s="11"/>
      <c r="U628" s="10" t="str">
        <f>HYPERLINK("https://pbs.twimg.com/profile_images/914050990097223680/V25T08jL.jpg","View")</f>
        <v>View</v>
      </c>
    </row>
    <row r="629" spans="1:21" ht="30.6">
      <c r="A629" s="6">
        <v>43442.096828703703</v>
      </c>
      <c r="B629" s="7" t="str">
        <f t="shared" ref="B629:B630" si="122">HYPERLINK("https://twitter.com/afrvet","@afrvet")</f>
        <v>@afrvet</v>
      </c>
      <c r="C629" s="8" t="s">
        <v>3955</v>
      </c>
      <c r="D629" s="9" t="s">
        <v>3980</v>
      </c>
      <c r="E629" s="10" t="str">
        <f>HYPERLINK("https://twitter.com/afrvet/status/1071212624136888320","1071212624136888320")</f>
        <v>1071212624136888320</v>
      </c>
      <c r="F629" s="12" t="s">
        <v>3981</v>
      </c>
      <c r="G629" s="11"/>
      <c r="H629" s="11"/>
      <c r="I629" s="13">
        <v>1</v>
      </c>
      <c r="J629" s="13">
        <v>1</v>
      </c>
      <c r="K629" s="14" t="str">
        <f t="shared" ref="K629:K631" si="123">HYPERLINK("http://twitter.com","Twitter Web Client")</f>
        <v>Twitter Web Client</v>
      </c>
      <c r="L629" s="13">
        <v>2013</v>
      </c>
      <c r="M629" s="13">
        <v>1525</v>
      </c>
      <c r="N629" s="13">
        <v>26</v>
      </c>
      <c r="O629" s="15"/>
      <c r="P629" s="6">
        <v>40000.540173611109</v>
      </c>
      <c r="Q629" s="18" t="s">
        <v>3959</v>
      </c>
      <c r="R629" s="17"/>
      <c r="S629" s="11"/>
      <c r="T629" s="11"/>
      <c r="U629" s="10" t="str">
        <f t="shared" ref="U629:U630" si="124">HYPERLINK("https://pbs.twimg.com/profile_images/929461322105925633/P_CtDrkl.jpg","View")</f>
        <v>View</v>
      </c>
    </row>
    <row r="630" spans="1:21" ht="20.399999999999999">
      <c r="A630" s="6">
        <v>43442.096134259264</v>
      </c>
      <c r="B630" s="7" t="str">
        <f t="shared" si="122"/>
        <v>@afrvet</v>
      </c>
      <c r="C630" s="8" t="s">
        <v>3955</v>
      </c>
      <c r="D630" s="9" t="s">
        <v>3982</v>
      </c>
      <c r="E630" s="10" t="str">
        <f>HYPERLINK("https://twitter.com/afrvet/status/1071212372545728512","1071212372545728512")</f>
        <v>1071212372545728512</v>
      </c>
      <c r="F630" s="12" t="s">
        <v>3985</v>
      </c>
      <c r="G630" s="11"/>
      <c r="H630" s="11"/>
      <c r="I630" s="13">
        <v>0</v>
      </c>
      <c r="J630" s="13">
        <v>0</v>
      </c>
      <c r="K630" s="14" t="str">
        <f t="shared" si="123"/>
        <v>Twitter Web Client</v>
      </c>
      <c r="L630" s="13">
        <v>2013</v>
      </c>
      <c r="M630" s="13">
        <v>1525</v>
      </c>
      <c r="N630" s="13">
        <v>26</v>
      </c>
      <c r="O630" s="15"/>
      <c r="P630" s="6">
        <v>40000.540173611109</v>
      </c>
      <c r="Q630" s="18" t="s">
        <v>3959</v>
      </c>
      <c r="R630" s="17"/>
      <c r="S630" s="11"/>
      <c r="T630" s="11"/>
      <c r="U630" s="10" t="str">
        <f t="shared" si="124"/>
        <v>View</v>
      </c>
    </row>
    <row r="631" spans="1:21" ht="40.799999999999997">
      <c r="A631" s="6">
        <v>43442.095787037033</v>
      </c>
      <c r="B631" s="7" t="str">
        <f>HYPERLINK("https://twitter.com/yagomug","@yagomug")</f>
        <v>@yagomug</v>
      </c>
      <c r="C631" s="8" t="s">
        <v>3987</v>
      </c>
      <c r="D631" s="9" t="s">
        <v>3988</v>
      </c>
      <c r="E631" s="10" t="str">
        <f>HYPERLINK("https://twitter.com/yagomug/status/1071212246456561664","1071212246456561664")</f>
        <v>1071212246456561664</v>
      </c>
      <c r="F631" s="12" t="s">
        <v>3989</v>
      </c>
      <c r="G631" s="11"/>
      <c r="H631" s="11"/>
      <c r="I631" s="13">
        <v>0</v>
      </c>
      <c r="J631" s="13">
        <v>0</v>
      </c>
      <c r="K631" s="14" t="str">
        <f t="shared" si="123"/>
        <v>Twitter Web Client</v>
      </c>
      <c r="L631" s="13">
        <v>35</v>
      </c>
      <c r="M631" s="13">
        <v>180</v>
      </c>
      <c r="N631" s="13">
        <v>0</v>
      </c>
      <c r="O631" s="15"/>
      <c r="P631" s="6">
        <v>40143.018726851849</v>
      </c>
      <c r="Q631" s="18" t="s">
        <v>307</v>
      </c>
      <c r="R631" s="19" t="s">
        <v>3991</v>
      </c>
      <c r="S631" s="11"/>
      <c r="T631" s="11"/>
      <c r="U631" s="10" t="str">
        <f>HYPERLINK("https://pbs.twimg.com/profile_images/1021577001730228225/AKVq-GZK.jpg","View")</f>
        <v>View</v>
      </c>
    </row>
    <row r="632" spans="1:21" ht="20.399999999999999">
      <c r="A632" s="6">
        <v>43442.093831018516</v>
      </c>
      <c r="B632" s="7" t="str">
        <f>HYPERLINK("https://twitter.com/franconcres","@franconcres")</f>
        <v>@franconcres</v>
      </c>
      <c r="C632" s="8" t="s">
        <v>3992</v>
      </c>
      <c r="D632" s="9" t="s">
        <v>3993</v>
      </c>
      <c r="E632" s="10" t="str">
        <f>HYPERLINK("https://twitter.com/franconcres/status/1071211538743263235","1071211538743263235")</f>
        <v>1071211538743263235</v>
      </c>
      <c r="F632" s="11"/>
      <c r="G632" s="11"/>
      <c r="H632" s="11"/>
      <c r="I632" s="13">
        <v>0</v>
      </c>
      <c r="J632" s="13">
        <v>0</v>
      </c>
      <c r="K632" s="14" t="str">
        <f>HYPERLINK("http://www.facebook.com/twitter","Facebook")</f>
        <v>Facebook</v>
      </c>
      <c r="L632" s="13">
        <v>430</v>
      </c>
      <c r="M632" s="13">
        <v>188</v>
      </c>
      <c r="N632" s="13">
        <v>3</v>
      </c>
      <c r="O632" s="15"/>
      <c r="P632" s="6">
        <v>40882.091979166667</v>
      </c>
      <c r="Q632" s="18" t="s">
        <v>3995</v>
      </c>
      <c r="R632" s="17"/>
      <c r="S632" s="11"/>
      <c r="T632" s="11"/>
      <c r="U632" s="10" t="str">
        <f>HYPERLINK("https://pbs.twimg.com/profile_images/1022274793012383749/VduMtZoP.jpg","View")</f>
        <v>View</v>
      </c>
    </row>
    <row r="633" spans="1:21" ht="30.6">
      <c r="A633" s="6">
        <v>43442.088958333334</v>
      </c>
      <c r="B633" s="7" t="str">
        <f>HYPERLINK("https://twitter.com/afrvet","@afrvet")</f>
        <v>@afrvet</v>
      </c>
      <c r="C633" s="8" t="s">
        <v>3955</v>
      </c>
      <c r="D633" s="9" t="s">
        <v>3997</v>
      </c>
      <c r="E633" s="10" t="str">
        <f>HYPERLINK("https://twitter.com/afrvet/status/1071209772324675584","1071209772324675584")</f>
        <v>1071209772324675584</v>
      </c>
      <c r="F633" s="12" t="s">
        <v>3998</v>
      </c>
      <c r="G633" s="11"/>
      <c r="H633" s="11"/>
      <c r="I633" s="13">
        <v>2</v>
      </c>
      <c r="J633" s="13">
        <v>1</v>
      </c>
      <c r="K633" s="14" t="str">
        <f>HYPERLINK("http://twitter.com","Twitter Web Client")</f>
        <v>Twitter Web Client</v>
      </c>
      <c r="L633" s="13">
        <v>2013</v>
      </c>
      <c r="M633" s="13">
        <v>1525</v>
      </c>
      <c r="N633" s="13">
        <v>26</v>
      </c>
      <c r="O633" s="15"/>
      <c r="P633" s="6">
        <v>40000.540173611109</v>
      </c>
      <c r="Q633" s="18" t="s">
        <v>3959</v>
      </c>
      <c r="R633" s="17"/>
      <c r="S633" s="11"/>
      <c r="T633" s="11"/>
      <c r="U633" s="10" t="str">
        <f>HYPERLINK("https://pbs.twimg.com/profile_images/929461322105925633/P_CtDrkl.jpg","View")</f>
        <v>View</v>
      </c>
    </row>
    <row r="634" spans="1:21" ht="61.2">
      <c r="A634" s="6">
        <v>43442.087129629625</v>
      </c>
      <c r="B634" s="7" t="str">
        <f>HYPERLINK("https://twitter.com/nemesiotornero","@nemesiotornero")</f>
        <v>@nemesiotornero</v>
      </c>
      <c r="C634" s="8" t="s">
        <v>1239</v>
      </c>
      <c r="D634" s="9" t="s">
        <v>1240</v>
      </c>
      <c r="E634" s="10" t="str">
        <f>HYPERLINK("https://twitter.com/nemesiotornero/status/1071209110081806336","1071209110081806336")</f>
        <v>1071209110081806336</v>
      </c>
      <c r="F634" s="11"/>
      <c r="G634" s="12" t="s">
        <v>1243</v>
      </c>
      <c r="H634" s="11"/>
      <c r="I634" s="13">
        <v>0</v>
      </c>
      <c r="J634" s="13">
        <v>0</v>
      </c>
      <c r="K634" s="14" t="str">
        <f>HYPERLINK("http://twitter.com/download/android","Twitter for Android")</f>
        <v>Twitter for Android</v>
      </c>
      <c r="L634" s="13">
        <v>413</v>
      </c>
      <c r="M634" s="13">
        <v>263</v>
      </c>
      <c r="N634" s="13">
        <v>4</v>
      </c>
      <c r="O634" s="15"/>
      <c r="P634" s="6">
        <v>40861.695787037039</v>
      </c>
      <c r="Q634" s="11"/>
      <c r="R634" s="17"/>
      <c r="S634" s="11"/>
      <c r="T634" s="11"/>
      <c r="U634" s="10" t="str">
        <f>HYPERLINK("https://pbs.twimg.com/profile_images/412393146719281152/zN6JpIY1.jpeg","View")</f>
        <v>View</v>
      </c>
    </row>
    <row r="635" spans="1:21" ht="20.399999999999999">
      <c r="A635" s="6">
        <v>43442.086400462962</v>
      </c>
      <c r="B635" s="7" t="str">
        <f>HYPERLINK("https://twitter.com/isaac872020","@isaac872020")</f>
        <v>@isaac872020</v>
      </c>
      <c r="C635" s="8" t="s">
        <v>4003</v>
      </c>
      <c r="D635" s="9" t="s">
        <v>4004</v>
      </c>
      <c r="E635" s="10" t="str">
        <f>HYPERLINK("https://twitter.com/isaac872020/status/1071208847195422724","1071208847195422724")</f>
        <v>1071208847195422724</v>
      </c>
      <c r="F635" s="12" t="s">
        <v>4005</v>
      </c>
      <c r="G635" s="11"/>
      <c r="H635" s="11"/>
      <c r="I635" s="13">
        <v>0</v>
      </c>
      <c r="J635" s="13">
        <v>0</v>
      </c>
      <c r="K635" s="14" t="str">
        <f t="shared" ref="K635:K636" si="125">HYPERLINK("http://twitter.com","Twitter Web Client")</f>
        <v>Twitter Web Client</v>
      </c>
      <c r="L635" s="13">
        <v>1094</v>
      </c>
      <c r="M635" s="13">
        <v>1007</v>
      </c>
      <c r="N635" s="13">
        <v>2</v>
      </c>
      <c r="O635" s="15"/>
      <c r="P635" s="6">
        <v>42530.054907407408</v>
      </c>
      <c r="Q635" s="18" t="s">
        <v>4008</v>
      </c>
      <c r="R635" s="19" t="s">
        <v>4009</v>
      </c>
      <c r="S635" s="11"/>
      <c r="T635" s="11"/>
      <c r="U635" s="10" t="str">
        <f>HYPERLINK("https://pbs.twimg.com/profile_images/928408253553246208/rVyJmXDW.jpg","View")</f>
        <v>View</v>
      </c>
    </row>
    <row r="636" spans="1:21" ht="30.6">
      <c r="A636" s="6">
        <v>43442.084837962961</v>
      </c>
      <c r="B636" s="7" t="str">
        <f>HYPERLINK("https://twitter.com/fernandoreturn","@fernandoreturn")</f>
        <v>@fernandoreturn</v>
      </c>
      <c r="C636" s="8" t="s">
        <v>4012</v>
      </c>
      <c r="D636" s="9" t="s">
        <v>1152</v>
      </c>
      <c r="E636" s="10" t="str">
        <f>HYPERLINK("https://twitter.com/fernandoreturn/status/1071208280540803072","1071208280540803072")</f>
        <v>1071208280540803072</v>
      </c>
      <c r="F636" s="12" t="s">
        <v>4013</v>
      </c>
      <c r="G636" s="11"/>
      <c r="H636" s="11"/>
      <c r="I636" s="13">
        <v>0</v>
      </c>
      <c r="J636" s="13">
        <v>0</v>
      </c>
      <c r="K636" s="14" t="str">
        <f t="shared" si="125"/>
        <v>Twitter Web Client</v>
      </c>
      <c r="L636" s="13">
        <v>583</v>
      </c>
      <c r="M636" s="13">
        <v>723</v>
      </c>
      <c r="N636" s="13">
        <v>0</v>
      </c>
      <c r="O636" s="15"/>
      <c r="P636" s="6">
        <v>40998.066666666666</v>
      </c>
      <c r="Q636" s="18" t="s">
        <v>601</v>
      </c>
      <c r="R636" s="17"/>
      <c r="S636" s="11"/>
      <c r="T636" s="11"/>
      <c r="U636" s="10" t="str">
        <f>HYPERLINK("https://pbs.twimg.com/profile_images/1016830138745487360/UDF-Hl7u.jpg","View")</f>
        <v>View</v>
      </c>
    </row>
    <row r="637" spans="1:21" ht="102">
      <c r="A637" s="6">
        <v>43442.08221064815</v>
      </c>
      <c r="B637" s="7" t="str">
        <f>HYPERLINK("https://twitter.com/cortessonia44","@cortessonia44")</f>
        <v>@cortessonia44</v>
      </c>
      <c r="C637" s="8" t="s">
        <v>4018</v>
      </c>
      <c r="D637" s="9" t="s">
        <v>4019</v>
      </c>
      <c r="E637" s="10" t="str">
        <f>HYPERLINK("https://twitter.com/cortessonia44/status/1071207327699795968","1071207327699795968")</f>
        <v>1071207327699795968</v>
      </c>
      <c r="F637" s="18" t="s">
        <v>552</v>
      </c>
      <c r="G637" s="11"/>
      <c r="H637" s="11"/>
      <c r="I637" s="13">
        <v>0</v>
      </c>
      <c r="J637" s="13">
        <v>0</v>
      </c>
      <c r="K637" s="14" t="str">
        <f t="shared" ref="K637:K638" si="126">HYPERLINK("http://twitter.com/download/android","Twitter for Android")</f>
        <v>Twitter for Android</v>
      </c>
      <c r="L637" s="13">
        <v>239</v>
      </c>
      <c r="M637" s="13">
        <v>1101</v>
      </c>
      <c r="N637" s="13">
        <v>1</v>
      </c>
      <c r="O637" s="15"/>
      <c r="P637" s="6">
        <v>42886.931620370371</v>
      </c>
      <c r="Q637" s="11"/>
      <c r="R637" s="17"/>
      <c r="S637" s="11"/>
      <c r="T637" s="11"/>
      <c r="U637" s="10" t="str">
        <f>HYPERLINK("https://pbs.twimg.com/profile_images/870013586046943232/tTi6Zlo0.jpg","View")</f>
        <v>View</v>
      </c>
    </row>
    <row r="638" spans="1:21" ht="30.6">
      <c r="A638" s="6">
        <v>43442.081666666665</v>
      </c>
      <c r="B638" s="7" t="str">
        <f>HYPERLINK("https://twitter.com/MaraPilarFernn3","@MaraPilarFernn3")</f>
        <v>@MaraPilarFernn3</v>
      </c>
      <c r="C638" s="8" t="s">
        <v>4023</v>
      </c>
      <c r="D638" s="9" t="s">
        <v>4024</v>
      </c>
      <c r="E638" s="10" t="str">
        <f>HYPERLINK("https://twitter.com/MaraPilarFernn3/status/1071207131817357312","1071207131817357312")</f>
        <v>1071207131817357312</v>
      </c>
      <c r="F638" s="12" t="s">
        <v>4025</v>
      </c>
      <c r="G638" s="11"/>
      <c r="H638" s="11"/>
      <c r="I638" s="13">
        <v>0</v>
      </c>
      <c r="J638" s="13">
        <v>2</v>
      </c>
      <c r="K638" s="14" t="str">
        <f t="shared" si="126"/>
        <v>Twitter for Android</v>
      </c>
      <c r="L638" s="13">
        <v>3497</v>
      </c>
      <c r="M638" s="13">
        <v>4263</v>
      </c>
      <c r="N638" s="13">
        <v>6</v>
      </c>
      <c r="O638" s="15"/>
      <c r="P638" s="6">
        <v>43144.741076388891</v>
      </c>
      <c r="Q638" s="11"/>
      <c r="R638" s="19" t="s">
        <v>4026</v>
      </c>
      <c r="S638" s="11"/>
      <c r="T638" s="11"/>
      <c r="U638" s="10" t="str">
        <f>HYPERLINK("https://pbs.twimg.com/profile_images/963937402619334657/H1OsvoHZ.jpg","View")</f>
        <v>View</v>
      </c>
    </row>
    <row r="639" spans="1:21" ht="30.6">
      <c r="A639" s="6">
        <v>43442.077835648146</v>
      </c>
      <c r="B639" s="7" t="str">
        <f>HYPERLINK("https://twitter.com/riduran_p","@riduran_p")</f>
        <v>@riduran_p</v>
      </c>
      <c r="C639" s="8" t="s">
        <v>3713</v>
      </c>
      <c r="D639" s="9" t="s">
        <v>1452</v>
      </c>
      <c r="E639" s="10" t="str">
        <f>HYPERLINK("https://twitter.com/riduran_p/status/1071205742089306112","1071205742089306112")</f>
        <v>1071205742089306112</v>
      </c>
      <c r="F639" s="12" t="s">
        <v>296</v>
      </c>
      <c r="G639" s="11"/>
      <c r="H639" s="11"/>
      <c r="I639" s="13">
        <v>0</v>
      </c>
      <c r="J639" s="13">
        <v>0</v>
      </c>
      <c r="K639" s="14" t="str">
        <f>HYPERLINK("http://twitter.com","Twitter Web Client")</f>
        <v>Twitter Web Client</v>
      </c>
      <c r="L639" s="13">
        <v>8543</v>
      </c>
      <c r="M639" s="13">
        <v>7522</v>
      </c>
      <c r="N639" s="13">
        <v>22</v>
      </c>
      <c r="O639" s="15"/>
      <c r="P639" s="6">
        <v>40678.594918981486</v>
      </c>
      <c r="Q639" s="18" t="s">
        <v>1682</v>
      </c>
      <c r="R639" s="19" t="s">
        <v>3719</v>
      </c>
      <c r="S639" s="12" t="s">
        <v>3721</v>
      </c>
      <c r="T639" s="11"/>
      <c r="U639" s="10" t="str">
        <f>HYPERLINK("https://pbs.twimg.com/profile_images/972822677244272640/23HaWXad.jpg","View")</f>
        <v>View</v>
      </c>
    </row>
    <row r="640" spans="1:21" ht="30.6">
      <c r="A640" s="6">
        <v>43442.076412037037</v>
      </c>
      <c r="B640" s="7" t="str">
        <f>HYPERLINK("https://twitter.com/curiosoooi","@curiosoooi")</f>
        <v>@curiosoooi</v>
      </c>
      <c r="C640" s="8" t="s">
        <v>1929</v>
      </c>
      <c r="D640" s="9" t="s">
        <v>4032</v>
      </c>
      <c r="E640" s="10" t="str">
        <f>HYPERLINK("https://twitter.com/curiosoooi/status/1071205226055655426","1071205226055655426")</f>
        <v>1071205226055655426</v>
      </c>
      <c r="F640" s="12" t="s">
        <v>1526</v>
      </c>
      <c r="G640" s="11"/>
      <c r="H640" s="11"/>
      <c r="I640" s="13">
        <v>4</v>
      </c>
      <c r="J640" s="13">
        <v>3</v>
      </c>
      <c r="K640" s="14" t="str">
        <f>HYPERLINK("http://twitter.com/download/android","Twitter for Android")</f>
        <v>Twitter for Android</v>
      </c>
      <c r="L640" s="13">
        <v>2294</v>
      </c>
      <c r="M640" s="13">
        <v>2441</v>
      </c>
      <c r="N640" s="13">
        <v>7</v>
      </c>
      <c r="O640" s="15"/>
      <c r="P640" s="6">
        <v>41113.212256944447</v>
      </c>
      <c r="Q640" s="11"/>
      <c r="R640" s="19" t="s">
        <v>1936</v>
      </c>
      <c r="S640" s="11"/>
      <c r="T640" s="11"/>
      <c r="U640" s="10" t="str">
        <f>HYPERLINK("https://pbs.twimg.com/profile_images/957872407733329920/CA8lCXFg.jpg","View")</f>
        <v>View</v>
      </c>
    </row>
    <row r="641" spans="1:21" ht="30.6">
      <c r="A641" s="6">
        <v>43442.074178240742</v>
      </c>
      <c r="B641" s="7" t="str">
        <f>HYPERLINK("https://twitter.com/afrvet","@afrvet")</f>
        <v>@afrvet</v>
      </c>
      <c r="C641" s="8" t="s">
        <v>3955</v>
      </c>
      <c r="D641" s="9" t="s">
        <v>4037</v>
      </c>
      <c r="E641" s="10" t="str">
        <f>HYPERLINK("https://twitter.com/afrvet/status/1071204414449434624","1071204414449434624")</f>
        <v>1071204414449434624</v>
      </c>
      <c r="F641" s="12" t="s">
        <v>4039</v>
      </c>
      <c r="G641" s="11"/>
      <c r="H641" s="11"/>
      <c r="I641" s="13">
        <v>0</v>
      </c>
      <c r="J641" s="13">
        <v>2</v>
      </c>
      <c r="K641" s="14" t="str">
        <f>HYPERLINK("http://twitter.com","Twitter Web Client")</f>
        <v>Twitter Web Client</v>
      </c>
      <c r="L641" s="13">
        <v>2013</v>
      </c>
      <c r="M641" s="13">
        <v>1525</v>
      </c>
      <c r="N641" s="13">
        <v>26</v>
      </c>
      <c r="O641" s="15"/>
      <c r="P641" s="6">
        <v>40000.540173611109</v>
      </c>
      <c r="Q641" s="18" t="s">
        <v>3959</v>
      </c>
      <c r="R641" s="17"/>
      <c r="S641" s="11"/>
      <c r="T641" s="11"/>
      <c r="U641" s="10" t="str">
        <f>HYPERLINK("https://pbs.twimg.com/profile_images/929461322105925633/P_CtDrkl.jpg","View")</f>
        <v>View</v>
      </c>
    </row>
    <row r="642" spans="1:21" ht="61.2">
      <c r="A642" s="6">
        <v>43442.072442129633</v>
      </c>
      <c r="B642" s="7" t="str">
        <f>HYPERLINK("https://twitter.com/KikeTejadaG","@KikeTejadaG")</f>
        <v>@KikeTejadaG</v>
      </c>
      <c r="C642" s="8" t="s">
        <v>875</v>
      </c>
      <c r="D642" s="9" t="s">
        <v>1246</v>
      </c>
      <c r="E642" s="10" t="str">
        <f>HYPERLINK("https://twitter.com/KikeTejadaG/status/1071203787434532869","1071203787434532869")</f>
        <v>1071203787434532869</v>
      </c>
      <c r="F642" s="18" t="s">
        <v>1247</v>
      </c>
      <c r="G642" s="11"/>
      <c r="H642" s="11"/>
      <c r="I642" s="13">
        <v>0</v>
      </c>
      <c r="J642" s="13">
        <v>0</v>
      </c>
      <c r="K642" s="14" t="str">
        <f>HYPERLINK("http://twitter.com/download/iphone","Twitter for iPhone")</f>
        <v>Twitter for iPhone</v>
      </c>
      <c r="L642" s="13">
        <v>743</v>
      </c>
      <c r="M642" s="13">
        <v>928</v>
      </c>
      <c r="N642" s="13">
        <v>24</v>
      </c>
      <c r="O642" s="15"/>
      <c r="P642" s="6">
        <v>40540.701701388891</v>
      </c>
      <c r="Q642" s="11"/>
      <c r="R642" s="19" t="s">
        <v>877</v>
      </c>
      <c r="S642" s="11"/>
      <c r="T642" s="11"/>
      <c r="U642" s="10" t="str">
        <f>HYPERLINK("https://pbs.twimg.com/profile_images/1028004981784408064/E3YKlv3-.jpg","View")</f>
        <v>View</v>
      </c>
    </row>
    <row r="643" spans="1:21" ht="51">
      <c r="A643" s="6">
        <v>43442.069988425923</v>
      </c>
      <c r="B643" s="7" t="str">
        <f>HYPERLINK("https://twitter.com/MarinePondGarde","@MarinePondGarde")</f>
        <v>@MarinePondGarde</v>
      </c>
      <c r="C643" s="8" t="s">
        <v>4045</v>
      </c>
      <c r="D643" s="9" t="s">
        <v>4046</v>
      </c>
      <c r="E643" s="10" t="str">
        <f>HYPERLINK("https://twitter.com/MarinePondGarde/status/1071202899206774784","1071202899206774784")</f>
        <v>1071202899206774784</v>
      </c>
      <c r="F643" s="12" t="s">
        <v>4048</v>
      </c>
      <c r="G643" s="11"/>
      <c r="H643" s="11"/>
      <c r="I643" s="13">
        <v>0</v>
      </c>
      <c r="J643" s="13">
        <v>0</v>
      </c>
      <c r="K643" s="14" t="str">
        <f>HYPERLINK("http://www.facebook.com/twitter","Facebook")</f>
        <v>Facebook</v>
      </c>
      <c r="L643" s="13">
        <v>25</v>
      </c>
      <c r="M643" s="13">
        <v>3</v>
      </c>
      <c r="N643" s="13">
        <v>0</v>
      </c>
      <c r="O643" s="15"/>
      <c r="P643" s="6">
        <v>41254.877129629633</v>
      </c>
      <c r="Q643" s="11"/>
      <c r="R643" s="19" t="s">
        <v>4050</v>
      </c>
      <c r="S643" s="11"/>
      <c r="T643" s="11"/>
      <c r="U643" s="10" t="str">
        <f>HYPERLINK("https://pbs.twimg.com/profile_images/2962653085/d0f16f2a312a2c373e8c5ada04f794bc.png","View")</f>
        <v>View</v>
      </c>
    </row>
    <row r="644" spans="1:21" ht="51">
      <c r="A644" s="6">
        <v>43442.069247685184</v>
      </c>
      <c r="B644" s="7" t="str">
        <f>HYPERLINK("https://twitter.com/monnissima","@monnissima")</f>
        <v>@monnissima</v>
      </c>
      <c r="C644" s="8" t="s">
        <v>1199</v>
      </c>
      <c r="D644" s="9" t="s">
        <v>1248</v>
      </c>
      <c r="E644" s="10" t="str">
        <f>HYPERLINK("https://twitter.com/monnissima/status/1071202628841943040","1071202628841943040")</f>
        <v>1071202628841943040</v>
      </c>
      <c r="F644" s="11"/>
      <c r="G644" s="11"/>
      <c r="H644" s="11"/>
      <c r="I644" s="13">
        <v>13</v>
      </c>
      <c r="J644" s="13">
        <v>21</v>
      </c>
      <c r="K644" s="14" t="str">
        <f>HYPERLINK("http://twitter.com/download/android","Twitter for Android")</f>
        <v>Twitter for Android</v>
      </c>
      <c r="L644" s="13">
        <v>10857</v>
      </c>
      <c r="M644" s="13">
        <v>9917</v>
      </c>
      <c r="N644" s="13">
        <v>77</v>
      </c>
      <c r="O644" s="15"/>
      <c r="P644" s="6">
        <v>39997.076874999999</v>
      </c>
      <c r="Q644" s="11"/>
      <c r="R644" s="19" t="s">
        <v>1202</v>
      </c>
      <c r="S644" s="12" t="s">
        <v>1203</v>
      </c>
      <c r="T644" s="11"/>
      <c r="U644" s="10" t="str">
        <f>HYPERLINK("https://pbs.twimg.com/profile_images/689510954627940352/rz9xXJtn.jpg","View")</f>
        <v>View</v>
      </c>
    </row>
    <row r="645" spans="1:21" ht="81.599999999999994">
      <c r="A645" s="6">
        <v>43442.069178240738</v>
      </c>
      <c r="B645" s="7" t="str">
        <f>HYPERLINK("https://twitter.com/BabunitaSeco","@BabunitaSeco")</f>
        <v>@BabunitaSeco</v>
      </c>
      <c r="C645" s="8" t="s">
        <v>1249</v>
      </c>
      <c r="D645" s="9" t="s">
        <v>1250</v>
      </c>
      <c r="E645" s="10" t="str">
        <f>HYPERLINK("https://twitter.com/BabunitaSeco/status/1071202602266824704","1071202602266824704")</f>
        <v>1071202602266824704</v>
      </c>
      <c r="F645" s="12" t="s">
        <v>263</v>
      </c>
      <c r="G645" s="12" t="s">
        <v>264</v>
      </c>
      <c r="H645" s="11"/>
      <c r="I645" s="13">
        <v>1</v>
      </c>
      <c r="J645" s="13">
        <v>0</v>
      </c>
      <c r="K645" s="14" t="str">
        <f>HYPERLINK("https://mobile.twitter.com","Twitter Lite")</f>
        <v>Twitter Lite</v>
      </c>
      <c r="L645" s="13">
        <v>194</v>
      </c>
      <c r="M645" s="13">
        <v>258</v>
      </c>
      <c r="N645" s="13">
        <v>13</v>
      </c>
      <c r="O645" s="15"/>
      <c r="P645" s="6">
        <v>40689.45930555556</v>
      </c>
      <c r="Q645" s="18" t="s">
        <v>1253</v>
      </c>
      <c r="R645" s="17"/>
      <c r="S645" s="12" t="s">
        <v>1254</v>
      </c>
      <c r="T645" s="11"/>
      <c r="U645" s="10" t="str">
        <f>HYPERLINK("https://pbs.twimg.com/profile_images/1369508100/Avatar.gif","View")</f>
        <v>View</v>
      </c>
    </row>
    <row r="646" spans="1:21" ht="30.6">
      <c r="A646" s="6">
        <v>43442.067303240736</v>
      </c>
      <c r="B646" s="7" t="str">
        <f>HYPERLINK("https://twitter.com/Julia75990331","@Julia75990331")</f>
        <v>@Julia75990331</v>
      </c>
      <c r="C646" s="8" t="s">
        <v>1256</v>
      </c>
      <c r="D646" s="9" t="s">
        <v>1257</v>
      </c>
      <c r="E646" s="10" t="str">
        <f>HYPERLINK("https://twitter.com/Julia75990331/status/1071201923963981825","1071201923963981825")</f>
        <v>1071201923963981825</v>
      </c>
      <c r="F646" s="11"/>
      <c r="G646" s="11"/>
      <c r="H646" s="11"/>
      <c r="I646" s="13">
        <v>1</v>
      </c>
      <c r="J646" s="13">
        <v>5</v>
      </c>
      <c r="K646" s="14" t="str">
        <f t="shared" ref="K646:K650" si="127">HYPERLINK("http://twitter.com/download/android","Twitter for Android")</f>
        <v>Twitter for Android</v>
      </c>
      <c r="L646" s="13">
        <v>695</v>
      </c>
      <c r="M646" s="13">
        <v>960</v>
      </c>
      <c r="N646" s="13">
        <v>0</v>
      </c>
      <c r="O646" s="15"/>
      <c r="P646" s="6">
        <v>43377.642314814817</v>
      </c>
      <c r="Q646" s="11"/>
      <c r="R646" s="19" t="s">
        <v>1259</v>
      </c>
      <c r="S646" s="11"/>
      <c r="T646" s="11"/>
      <c r="U646" s="10" t="str">
        <f>HYPERLINK("https://pbs.twimg.com/profile_images/1051971899109113857/Lnj9d5gj.jpg","View")</f>
        <v>View</v>
      </c>
    </row>
    <row r="647" spans="1:21" ht="30.6">
      <c r="A647" s="6">
        <v>43442.063634259262</v>
      </c>
      <c r="B647" s="7" t="str">
        <f>HYPERLINK("https://twitter.com/migueljh1","@migueljh1")</f>
        <v>@migueljh1</v>
      </c>
      <c r="C647" s="8" t="s">
        <v>1262</v>
      </c>
      <c r="D647" s="9" t="s">
        <v>1263</v>
      </c>
      <c r="E647" s="10" t="str">
        <f>HYPERLINK("https://twitter.com/migueljh1/status/1071200593212047360","1071200593212047360")</f>
        <v>1071200593212047360</v>
      </c>
      <c r="F647" s="11"/>
      <c r="G647" s="11"/>
      <c r="H647" s="11"/>
      <c r="I647" s="13">
        <v>0</v>
      </c>
      <c r="J647" s="13">
        <v>3</v>
      </c>
      <c r="K647" s="14" t="str">
        <f t="shared" si="127"/>
        <v>Twitter for Android</v>
      </c>
      <c r="L647" s="13">
        <v>202</v>
      </c>
      <c r="M647" s="13">
        <v>397</v>
      </c>
      <c r="N647" s="13">
        <v>0</v>
      </c>
      <c r="O647" s="15"/>
      <c r="P647" s="6">
        <v>41345.002858796295</v>
      </c>
      <c r="Q647" s="11"/>
      <c r="R647" s="19" t="s">
        <v>1267</v>
      </c>
      <c r="S647" s="11"/>
      <c r="T647" s="11"/>
      <c r="U647" s="10" t="str">
        <f>HYPERLINK("https://pbs.twimg.com/profile_images/845621640088162307/CnTnHzhy.jpg","View")</f>
        <v>View</v>
      </c>
    </row>
    <row r="648" spans="1:21" ht="71.400000000000006">
      <c r="A648" s="6">
        <v>43442.062928240739</v>
      </c>
      <c r="B648" s="7" t="str">
        <f>HYPERLINK("https://twitter.com/PepitaMenaMart1","@PepitaMenaMart1")</f>
        <v>@PepitaMenaMart1</v>
      </c>
      <c r="C648" s="8" t="s">
        <v>4069</v>
      </c>
      <c r="D648" s="9" t="s">
        <v>4071</v>
      </c>
      <c r="E648" s="10" t="str">
        <f>HYPERLINK("https://twitter.com/PepitaMenaMart1/status/1071200340475867136","1071200340475867136")</f>
        <v>1071200340475867136</v>
      </c>
      <c r="F648" s="18" t="s">
        <v>4072</v>
      </c>
      <c r="G648" s="11"/>
      <c r="H648" s="11"/>
      <c r="I648" s="13">
        <v>0</v>
      </c>
      <c r="J648" s="13">
        <v>0</v>
      </c>
      <c r="K648" s="14" t="str">
        <f t="shared" si="127"/>
        <v>Twitter for Android</v>
      </c>
      <c r="L648" s="13">
        <v>437</v>
      </c>
      <c r="M648" s="13">
        <v>350</v>
      </c>
      <c r="N648" s="13">
        <v>1</v>
      </c>
      <c r="O648" s="15"/>
      <c r="P648" s="6">
        <v>43124.888506944444</v>
      </c>
      <c r="Q648" s="18" t="s">
        <v>4073</v>
      </c>
      <c r="R648" s="19" t="s">
        <v>4074</v>
      </c>
      <c r="S648" s="11"/>
      <c r="T648" s="11"/>
      <c r="U648" s="10" t="str">
        <f>HYPERLINK("https://pbs.twimg.com/profile_images/1053410905311064064/xChXdA8v.jpg","View")</f>
        <v>View</v>
      </c>
    </row>
    <row r="649" spans="1:21" ht="91.8">
      <c r="A649" s="6">
        <v>43442.061701388884</v>
      </c>
      <c r="B649" s="7" t="str">
        <f>HYPERLINK("https://twitter.com/BeyondWoods","@BeyondWoods")</f>
        <v>@BeyondWoods</v>
      </c>
      <c r="C649" s="8" t="s">
        <v>1269</v>
      </c>
      <c r="D649" s="9" t="s">
        <v>1270</v>
      </c>
      <c r="E649" s="10" t="str">
        <f>HYPERLINK("https://twitter.com/BeyondWoods/status/1071199896038969345","1071199896038969345")</f>
        <v>1071199896038969345</v>
      </c>
      <c r="F649" s="18" t="s">
        <v>1271</v>
      </c>
      <c r="G649" s="11"/>
      <c r="H649" s="11"/>
      <c r="I649" s="13">
        <v>7</v>
      </c>
      <c r="J649" s="13">
        <v>16</v>
      </c>
      <c r="K649" s="14" t="str">
        <f t="shared" si="127"/>
        <v>Twitter for Android</v>
      </c>
      <c r="L649" s="13">
        <v>2308</v>
      </c>
      <c r="M649" s="13">
        <v>1791</v>
      </c>
      <c r="N649" s="13">
        <v>72</v>
      </c>
      <c r="O649" s="15"/>
      <c r="P649" s="6">
        <v>40970.974618055552</v>
      </c>
      <c r="Q649" s="18" t="s">
        <v>1274</v>
      </c>
      <c r="R649" s="19" t="s">
        <v>1275</v>
      </c>
      <c r="S649" s="11"/>
      <c r="T649" s="11"/>
      <c r="U649" s="10" t="str">
        <f>HYPERLINK("https://pbs.twimg.com/profile_images/499558205459296256/PcLkjp0H.jpeg","View")</f>
        <v>View</v>
      </c>
    </row>
    <row r="650" spans="1:21" ht="20.399999999999999">
      <c r="A650" s="6">
        <v>43442.061527777776</v>
      </c>
      <c r="B650" s="7" t="str">
        <f>HYPERLINK("https://twitter.com/lunadebenidorm","@lunadebenidorm")</f>
        <v>@lunadebenidorm</v>
      </c>
      <c r="C650" s="8" t="s">
        <v>4079</v>
      </c>
      <c r="D650" s="9" t="s">
        <v>4080</v>
      </c>
      <c r="E650" s="10" t="str">
        <f>HYPERLINK("https://twitter.com/lunadebenidorm/status/1071199833287987201","1071199833287987201")</f>
        <v>1071199833287987201</v>
      </c>
      <c r="F650" s="12" t="s">
        <v>4081</v>
      </c>
      <c r="G650" s="11"/>
      <c r="H650" s="11"/>
      <c r="I650" s="13">
        <v>0</v>
      </c>
      <c r="J650" s="13">
        <v>1</v>
      </c>
      <c r="K650" s="14" t="str">
        <f t="shared" si="127"/>
        <v>Twitter for Android</v>
      </c>
      <c r="L650" s="13">
        <v>3951</v>
      </c>
      <c r="M650" s="13">
        <v>4067</v>
      </c>
      <c r="N650" s="13">
        <v>79</v>
      </c>
      <c r="O650" s="15"/>
      <c r="P650" s="6">
        <v>41461.81186342593</v>
      </c>
      <c r="Q650" s="11"/>
      <c r="R650" s="19" t="s">
        <v>4083</v>
      </c>
      <c r="S650" s="11"/>
      <c r="T650" s="11"/>
      <c r="U650" s="10" t="str">
        <f>HYPERLINK("https://pbs.twimg.com/profile_images/1066142568734515203/pN2PG8WE.jpg","View")</f>
        <v>View</v>
      </c>
    </row>
    <row r="651" spans="1:21" ht="20.399999999999999">
      <c r="A651" s="6">
        <v>43442.060011574074</v>
      </c>
      <c r="B651" s="7" t="str">
        <f>HYPERLINK("https://twitter.com/gara_ice","@gara_ice")</f>
        <v>@gara_ice</v>
      </c>
      <c r="C651" s="8" t="s">
        <v>1398</v>
      </c>
      <c r="D651" s="9" t="s">
        <v>4086</v>
      </c>
      <c r="E651" s="10" t="str">
        <f>HYPERLINK("https://twitter.com/gara_ice/status/1071199281430872065","1071199281430872065")</f>
        <v>1071199281430872065</v>
      </c>
      <c r="F651" s="12" t="s">
        <v>4088</v>
      </c>
      <c r="G651" s="11"/>
      <c r="H651" s="11"/>
      <c r="I651" s="13">
        <v>0</v>
      </c>
      <c r="J651" s="13">
        <v>0</v>
      </c>
      <c r="K651" s="14" t="str">
        <f>HYPERLINK("https://ifttt.com","IFTTT")</f>
        <v>IFTTT</v>
      </c>
      <c r="L651" s="13">
        <v>450</v>
      </c>
      <c r="M651" s="13">
        <v>434</v>
      </c>
      <c r="N651" s="13">
        <v>10</v>
      </c>
      <c r="O651" s="15"/>
      <c r="P651" s="6">
        <v>39590.435324074075</v>
      </c>
      <c r="Q651" s="11"/>
      <c r="R651" s="17"/>
      <c r="S651" s="11"/>
      <c r="T651" s="11"/>
      <c r="U651" s="10" t="str">
        <f>HYPERLINK("https://pbs.twimg.com/profile_images/561850533468971008/-4f3cnLr.jpeg","View")</f>
        <v>View</v>
      </c>
    </row>
    <row r="652" spans="1:21" ht="51">
      <c r="A652" s="6">
        <v>43442.057708333334</v>
      </c>
      <c r="B652" s="7" t="str">
        <f>HYPERLINK("https://twitter.com/AgPalmaPalmilla","@AgPalmaPalmilla")</f>
        <v>@AgPalmaPalmilla</v>
      </c>
      <c r="C652" s="8" t="s">
        <v>4093</v>
      </c>
      <c r="D652" s="9" t="s">
        <v>4094</v>
      </c>
      <c r="E652" s="10" t="str">
        <f>HYPERLINK("https://twitter.com/AgPalmaPalmilla/status/1071198446038732801","1071198446038732801")</f>
        <v>1071198446038732801</v>
      </c>
      <c r="F652" s="11"/>
      <c r="G652" s="12" t="s">
        <v>4096</v>
      </c>
      <c r="H652" s="11"/>
      <c r="I652" s="13">
        <v>5</v>
      </c>
      <c r="J652" s="13">
        <v>7</v>
      </c>
      <c r="K652" s="14" t="str">
        <f t="shared" ref="K652:K655" si="128">HYPERLINK("http://twitter.com","Twitter Web Client")</f>
        <v>Twitter Web Client</v>
      </c>
      <c r="L652" s="13">
        <v>606</v>
      </c>
      <c r="M652" s="13">
        <v>1912</v>
      </c>
      <c r="N652" s="13">
        <v>3</v>
      </c>
      <c r="O652" s="15"/>
      <c r="P652" s="6">
        <v>43055.807002314818</v>
      </c>
      <c r="Q652" s="18" t="s">
        <v>2020</v>
      </c>
      <c r="R652" s="17"/>
      <c r="S652" s="12" t="s">
        <v>4099</v>
      </c>
      <c r="T652" s="11"/>
      <c r="U652" s="10" t="str">
        <f>HYPERLINK("https://pbs.twimg.com/profile_images/1071194316637421568/T_m8Ja73.jpg","View")</f>
        <v>View</v>
      </c>
    </row>
    <row r="653" spans="1:21" ht="40.799999999999997">
      <c r="A653" s="6">
        <v>43442.056851851856</v>
      </c>
      <c r="B653" s="7" t="str">
        <f>HYPERLINK("https://twitter.com/enriquedediegov","@enriquedediegov")</f>
        <v>@enriquedediegov</v>
      </c>
      <c r="C653" s="8" t="s">
        <v>234</v>
      </c>
      <c r="D653" s="9" t="s">
        <v>4101</v>
      </c>
      <c r="E653" s="10" t="str">
        <f>HYPERLINK("https://twitter.com/enriquedediegov/status/1071198136658550786","1071198136658550786")</f>
        <v>1071198136658550786</v>
      </c>
      <c r="F653" s="11"/>
      <c r="G653" s="11"/>
      <c r="H653" s="11"/>
      <c r="I653" s="13">
        <v>6</v>
      </c>
      <c r="J653" s="13">
        <v>19</v>
      </c>
      <c r="K653" s="14" t="str">
        <f t="shared" si="128"/>
        <v>Twitter Web Client</v>
      </c>
      <c r="L653" s="13">
        <v>7792</v>
      </c>
      <c r="M653" s="13">
        <v>6053</v>
      </c>
      <c r="N653" s="13">
        <v>179</v>
      </c>
      <c r="O653" s="15"/>
      <c r="P653" s="6">
        <v>41293.717129629629</v>
      </c>
      <c r="Q653" s="18" t="s">
        <v>42</v>
      </c>
      <c r="R653" s="19" t="s">
        <v>239</v>
      </c>
      <c r="S653" s="12" t="s">
        <v>240</v>
      </c>
      <c r="T653" s="11"/>
      <c r="U653" s="10" t="str">
        <f>HYPERLINK("https://pbs.twimg.com/profile_images/3129623790/4ae197d01442e05dee4622297c3b9642.jpeg","View")</f>
        <v>View</v>
      </c>
    </row>
    <row r="654" spans="1:21" ht="20.399999999999999">
      <c r="A654" s="6">
        <v>43442.053067129629</v>
      </c>
      <c r="B654" s="7" t="str">
        <f>HYPERLINK("https://twitter.com/RosaRC17","@RosaRC17")</f>
        <v>@RosaRC17</v>
      </c>
      <c r="C654" s="8" t="s">
        <v>4105</v>
      </c>
      <c r="D654" s="9" t="s">
        <v>1452</v>
      </c>
      <c r="E654" s="10" t="str">
        <f>HYPERLINK("https://twitter.com/RosaRC17/status/1071196766027038720","1071196766027038720")</f>
        <v>1071196766027038720</v>
      </c>
      <c r="F654" s="12" t="s">
        <v>296</v>
      </c>
      <c r="G654" s="11"/>
      <c r="H654" s="11"/>
      <c r="I654" s="13">
        <v>0</v>
      </c>
      <c r="J654" s="13">
        <v>0</v>
      </c>
      <c r="K654" s="14" t="str">
        <f t="shared" si="128"/>
        <v>Twitter Web Client</v>
      </c>
      <c r="L654" s="13">
        <v>49</v>
      </c>
      <c r="M654" s="13">
        <v>124</v>
      </c>
      <c r="N654" s="13">
        <v>0</v>
      </c>
      <c r="O654" s="15"/>
      <c r="P654" s="6">
        <v>43340.982291666667</v>
      </c>
      <c r="Q654" s="11"/>
      <c r="R654" s="19" t="s">
        <v>4106</v>
      </c>
      <c r="S654" s="11"/>
      <c r="T654" s="11"/>
      <c r="U654" s="10" t="str">
        <f>HYPERLINK("https://pbs.twimg.com/profile_images/1038013392546611201/Ogwt5hAb.png","View")</f>
        <v>View</v>
      </c>
    </row>
    <row r="655" spans="1:21" ht="20.399999999999999">
      <c r="A655" s="6">
        <v>43442.049699074079</v>
      </c>
      <c r="B655" s="7" t="str">
        <f>HYPERLINK("https://twitter.com/OttiMayo","@OttiMayo")</f>
        <v>@OttiMayo</v>
      </c>
      <c r="C655" s="8" t="s">
        <v>4110</v>
      </c>
      <c r="D655" s="9" t="s">
        <v>2024</v>
      </c>
      <c r="E655" s="10" t="str">
        <f>HYPERLINK("https://twitter.com/OttiMayo/status/1071195544557707264","1071195544557707264")</f>
        <v>1071195544557707264</v>
      </c>
      <c r="F655" s="12" t="s">
        <v>2026</v>
      </c>
      <c r="G655" s="11"/>
      <c r="H655" s="11"/>
      <c r="I655" s="13">
        <v>11</v>
      </c>
      <c r="J655" s="13">
        <v>11</v>
      </c>
      <c r="K655" s="14" t="str">
        <f t="shared" si="128"/>
        <v>Twitter Web Client</v>
      </c>
      <c r="L655" s="13">
        <v>491</v>
      </c>
      <c r="M655" s="13">
        <v>590</v>
      </c>
      <c r="N655" s="13">
        <v>11</v>
      </c>
      <c r="O655" s="15"/>
      <c r="P655" s="6">
        <v>41196.716874999998</v>
      </c>
      <c r="Q655" s="11"/>
      <c r="R655" s="19" t="s">
        <v>4112</v>
      </c>
      <c r="S655" s="11"/>
      <c r="T655" s="11"/>
      <c r="U655" s="10" t="str">
        <f>HYPERLINK("https://pbs.twimg.com/profile_images/746752096775577600/V3uwlUJn.jpg","View")</f>
        <v>View</v>
      </c>
    </row>
    <row r="656" spans="1:21" ht="30.6">
      <c r="A656" s="6">
        <v>43442.047685185185</v>
      </c>
      <c r="B656" s="7" t="str">
        <f>HYPERLINK("https://twitter.com/GelGelder","@GelGelder")</f>
        <v>@GelGelder</v>
      </c>
      <c r="C656" s="8" t="s">
        <v>1335</v>
      </c>
      <c r="D656" s="9" t="s">
        <v>4114</v>
      </c>
      <c r="E656" s="10" t="str">
        <f>HYPERLINK("https://twitter.com/GelGelder/status/1071194816007036933","1071194816007036933")</f>
        <v>1071194816007036933</v>
      </c>
      <c r="F656" s="12" t="s">
        <v>4116</v>
      </c>
      <c r="G656" s="11"/>
      <c r="H656" s="11"/>
      <c r="I656" s="13">
        <v>0</v>
      </c>
      <c r="J656" s="13">
        <v>0</v>
      </c>
      <c r="K656" s="14" t="str">
        <f>HYPERLINK("http://twitter.com/download/android","Twitter for Android")</f>
        <v>Twitter for Android</v>
      </c>
      <c r="L656" s="13">
        <v>2672</v>
      </c>
      <c r="M656" s="13">
        <v>1322</v>
      </c>
      <c r="N656" s="13">
        <v>6</v>
      </c>
      <c r="O656" s="15"/>
      <c r="P656" s="6">
        <v>40747.641180555554</v>
      </c>
      <c r="Q656" s="18" t="s">
        <v>1340</v>
      </c>
      <c r="R656" s="19" t="s">
        <v>1341</v>
      </c>
      <c r="S656" s="11"/>
      <c r="T656" s="11"/>
      <c r="U656" s="10" t="str">
        <f>HYPERLINK("https://pbs.twimg.com/profile_images/687746564006264832/0GqvYzpg.jpg","View")</f>
        <v>View</v>
      </c>
    </row>
    <row r="657" spans="1:21" ht="40.799999999999997">
      <c r="A657" s="6">
        <v>43442.046307870369</v>
      </c>
      <c r="B657" s="7" t="str">
        <f>HYPERLINK("https://twitter.com/PdeSamos","@PdeSamos")</f>
        <v>@PdeSamos</v>
      </c>
      <c r="C657" s="8" t="s">
        <v>1432</v>
      </c>
      <c r="D657" s="9" t="s">
        <v>4119</v>
      </c>
      <c r="E657" s="10" t="str">
        <f>HYPERLINK("https://twitter.com/PdeSamos/status/1071194314838081536","1071194314838081536")</f>
        <v>1071194314838081536</v>
      </c>
      <c r="F657" s="12" t="s">
        <v>4120</v>
      </c>
      <c r="G657" s="11"/>
      <c r="H657" s="11"/>
      <c r="I657" s="13">
        <v>0</v>
      </c>
      <c r="J657" s="13">
        <v>0</v>
      </c>
      <c r="K657" s="14" t="str">
        <f>HYPERLINK("http://republico.ddns.net","App Libertad PdeSamos")</f>
        <v>App Libertad PdeSamos</v>
      </c>
      <c r="L657" s="13">
        <v>5398</v>
      </c>
      <c r="M657" s="13">
        <v>5441</v>
      </c>
      <c r="N657" s="13">
        <v>12</v>
      </c>
      <c r="O657" s="15"/>
      <c r="P657" s="6">
        <v>42889.820567129631</v>
      </c>
      <c r="Q657" s="18" t="s">
        <v>1336</v>
      </c>
      <c r="R657" s="19" t="s">
        <v>1438</v>
      </c>
      <c r="S657" s="11"/>
      <c r="T657" s="11"/>
      <c r="U657" s="10" t="str">
        <f>HYPERLINK("https://pbs.twimg.com/profile_images/871063742003511296/xK2IYbrO.jpg","View")</f>
        <v>View</v>
      </c>
    </row>
    <row r="658" spans="1:21" ht="20.399999999999999">
      <c r="A658" s="6">
        <v>43442.045381944445</v>
      </c>
      <c r="B658" s="7" t="str">
        <f>HYPERLINK("https://twitter.com/Taxitronco","@Taxitronco")</f>
        <v>@Taxitronco</v>
      </c>
      <c r="C658" s="8" t="s">
        <v>4124</v>
      </c>
      <c r="D658" s="9" t="s">
        <v>4125</v>
      </c>
      <c r="E658" s="10" t="str">
        <f>HYPERLINK("https://twitter.com/Taxitronco/status/1071193980631703552","1071193980631703552")</f>
        <v>1071193980631703552</v>
      </c>
      <c r="F658" s="12" t="s">
        <v>4126</v>
      </c>
      <c r="G658" s="11"/>
      <c r="H658" s="11"/>
      <c r="I658" s="13">
        <v>1</v>
      </c>
      <c r="J658" s="13">
        <v>1</v>
      </c>
      <c r="K658" s="14" t="str">
        <f t="shared" ref="K658:K659" si="129">HYPERLINK("http://twitter.com","Twitter Web Client")</f>
        <v>Twitter Web Client</v>
      </c>
      <c r="L658" s="13">
        <v>1903</v>
      </c>
      <c r="M658" s="13">
        <v>2853</v>
      </c>
      <c r="N658" s="13">
        <v>4</v>
      </c>
      <c r="O658" s="15"/>
      <c r="P658" s="6">
        <v>42552.690937499996</v>
      </c>
      <c r="Q658" s="18" t="s">
        <v>2798</v>
      </c>
      <c r="R658" s="17"/>
      <c r="S658" s="11"/>
      <c r="T658" s="11"/>
      <c r="U658" s="10" t="str">
        <f>HYPERLINK("https://pbs.twimg.com/profile_images/940930599447158785/hCNS6-YP.jpg","View")</f>
        <v>View</v>
      </c>
    </row>
    <row r="659" spans="1:21" ht="20.399999999999999">
      <c r="A659" s="6">
        <v>43442.044502314813</v>
      </c>
      <c r="B659" s="7" t="str">
        <f>HYPERLINK("https://twitter.com/Espanasoberana","@Espanasoberana")</f>
        <v>@Espanasoberana</v>
      </c>
      <c r="C659" s="8" t="s">
        <v>4129</v>
      </c>
      <c r="D659" s="9" t="s">
        <v>1452</v>
      </c>
      <c r="E659" s="10" t="str">
        <f>HYPERLINK("https://twitter.com/Espanasoberana/status/1071193661935939584","1071193661935939584")</f>
        <v>1071193661935939584</v>
      </c>
      <c r="F659" s="12" t="s">
        <v>296</v>
      </c>
      <c r="G659" s="11"/>
      <c r="H659" s="11"/>
      <c r="I659" s="13">
        <v>1</v>
      </c>
      <c r="J659" s="13">
        <v>0</v>
      </c>
      <c r="K659" s="14" t="str">
        <f t="shared" si="129"/>
        <v>Twitter Web Client</v>
      </c>
      <c r="L659" s="13">
        <v>528</v>
      </c>
      <c r="M659" s="13">
        <v>509</v>
      </c>
      <c r="N659" s="13">
        <v>2</v>
      </c>
      <c r="O659" s="15"/>
      <c r="P659" s="6">
        <v>43344.353078703702</v>
      </c>
      <c r="Q659" s="18" t="s">
        <v>26</v>
      </c>
      <c r="R659" s="19" t="s">
        <v>4130</v>
      </c>
      <c r="S659" s="11"/>
      <c r="T659" s="11"/>
      <c r="U659" s="10" t="str">
        <f>HYPERLINK("https://pbs.twimg.com/profile_images/1071111392286121984/VqeAGhdB.jpg","View")</f>
        <v>View</v>
      </c>
    </row>
    <row r="660" spans="1:21" ht="30.6">
      <c r="A660" s="6">
        <v>43442.041296296295</v>
      </c>
      <c r="B660" s="7" t="str">
        <f>HYPERLINK("https://twitter.com/_VERTE__","@_VERTE__")</f>
        <v>@_VERTE__</v>
      </c>
      <c r="C660" s="8" t="s">
        <v>4131</v>
      </c>
      <c r="D660" s="9" t="s">
        <v>4132</v>
      </c>
      <c r="E660" s="10" t="str">
        <f>HYPERLINK("https://twitter.com/_VERTE__/status/1071192499694329856","1071192499694329856")</f>
        <v>1071192499694329856</v>
      </c>
      <c r="F660" s="12" t="s">
        <v>4134</v>
      </c>
      <c r="G660" s="11"/>
      <c r="H660" s="11"/>
      <c r="I660" s="13">
        <v>0</v>
      </c>
      <c r="J660" s="13">
        <v>0</v>
      </c>
      <c r="K660" s="14" t="str">
        <f t="shared" ref="K660:K661" si="130">HYPERLINK("http://twitter.com/download/android","Twitter for Android")</f>
        <v>Twitter for Android</v>
      </c>
      <c r="L660" s="13">
        <v>824</v>
      </c>
      <c r="M660" s="13">
        <v>631</v>
      </c>
      <c r="N660" s="13">
        <v>4</v>
      </c>
      <c r="O660" s="15"/>
      <c r="P660" s="6">
        <v>42587.595590277779</v>
      </c>
      <c r="Q660" s="18" t="s">
        <v>42</v>
      </c>
      <c r="R660" s="19" t="s">
        <v>4136</v>
      </c>
      <c r="S660" s="11"/>
      <c r="T660" s="11"/>
      <c r="U660" s="10" t="str">
        <f>HYPERLINK("https://pbs.twimg.com/profile_images/978627741351374848/0Sk8sN3b.jpg","View")</f>
        <v>View</v>
      </c>
    </row>
    <row r="661" spans="1:21" ht="40.799999999999997">
      <c r="A661" s="6">
        <v>43442.040798611109</v>
      </c>
      <c r="B661" s="7" t="str">
        <f>HYPERLINK("https://twitter.com/GelGelder","@GelGelder")</f>
        <v>@GelGelder</v>
      </c>
      <c r="C661" s="8" t="s">
        <v>1335</v>
      </c>
      <c r="D661" s="9" t="s">
        <v>4139</v>
      </c>
      <c r="E661" s="10" t="str">
        <f>HYPERLINK("https://twitter.com/GelGelder/status/1071192321084059653","1071192321084059653")</f>
        <v>1071192321084059653</v>
      </c>
      <c r="F661" s="12" t="s">
        <v>219</v>
      </c>
      <c r="G661" s="11"/>
      <c r="H661" s="11"/>
      <c r="I661" s="13">
        <v>6</v>
      </c>
      <c r="J661" s="13">
        <v>5</v>
      </c>
      <c r="K661" s="14" t="str">
        <f t="shared" si="130"/>
        <v>Twitter for Android</v>
      </c>
      <c r="L661" s="13">
        <v>2672</v>
      </c>
      <c r="M661" s="13">
        <v>1322</v>
      </c>
      <c r="N661" s="13">
        <v>6</v>
      </c>
      <c r="O661" s="15"/>
      <c r="P661" s="6">
        <v>40747.641180555554</v>
      </c>
      <c r="Q661" s="18" t="s">
        <v>1340</v>
      </c>
      <c r="R661" s="19" t="s">
        <v>1341</v>
      </c>
      <c r="S661" s="11"/>
      <c r="T661" s="11"/>
      <c r="U661" s="10" t="str">
        <f>HYPERLINK("https://pbs.twimg.com/profile_images/687746564006264832/0GqvYzpg.jpg","View")</f>
        <v>View</v>
      </c>
    </row>
    <row r="662" spans="1:21" ht="40.799999999999997">
      <c r="A662" s="6">
        <v>43442.039629629631</v>
      </c>
      <c r="B662" s="7" t="str">
        <f>HYPERLINK("https://twitter.com/lucussolis1974","@lucussolis1974")</f>
        <v>@lucussolis1974</v>
      </c>
      <c r="C662" s="8" t="s">
        <v>1276</v>
      </c>
      <c r="D662" s="9" t="s">
        <v>1277</v>
      </c>
      <c r="E662" s="10" t="str">
        <f>HYPERLINK("https://twitter.com/lucussolis1974/status/1071191898222706688","1071191898222706688")</f>
        <v>1071191898222706688</v>
      </c>
      <c r="F662" s="11"/>
      <c r="G662" s="12" t="s">
        <v>1281</v>
      </c>
      <c r="H662" s="11"/>
      <c r="I662" s="13">
        <v>0</v>
      </c>
      <c r="J662" s="13">
        <v>0</v>
      </c>
      <c r="K662" s="14" t="str">
        <f>HYPERLINK("http://twitter.com/download/iphone","Twitter for iPhone")</f>
        <v>Twitter for iPhone</v>
      </c>
      <c r="L662" s="13">
        <v>126</v>
      </c>
      <c r="M662" s="13">
        <v>99</v>
      </c>
      <c r="N662" s="13">
        <v>1</v>
      </c>
      <c r="O662" s="15"/>
      <c r="P662" s="6">
        <v>41838.721504629633</v>
      </c>
      <c r="Q662" s="11"/>
      <c r="R662" s="19" t="s">
        <v>1282</v>
      </c>
      <c r="S662" s="11"/>
      <c r="T662" s="11"/>
      <c r="U662" s="10" t="str">
        <f>HYPERLINK("https://pbs.twimg.com/profile_images/745127935133122564/LHWR46sZ.jpg","View")</f>
        <v>View</v>
      </c>
    </row>
    <row r="663" spans="1:21" ht="30.6">
      <c r="A663" s="6">
        <v>43442.037291666667</v>
      </c>
      <c r="B663" s="7" t="str">
        <f>HYPERLINK("https://twitter.com/pakohh71","@pakohh71")</f>
        <v>@pakohh71</v>
      </c>
      <c r="C663" s="8" t="s">
        <v>4144</v>
      </c>
      <c r="D663" s="9" t="s">
        <v>4145</v>
      </c>
      <c r="E663" s="10" t="str">
        <f>HYPERLINK("https://twitter.com/pakohh71/status/1071191049501065216","1071191049501065216")</f>
        <v>1071191049501065216</v>
      </c>
      <c r="F663" s="12" t="s">
        <v>4146</v>
      </c>
      <c r="G663" s="11"/>
      <c r="H663" s="11"/>
      <c r="I663" s="13">
        <v>0</v>
      </c>
      <c r="J663" s="13">
        <v>0</v>
      </c>
      <c r="K663" s="14" t="str">
        <f>HYPERLINK("http://www.facebook.com/twitter","Facebook")</f>
        <v>Facebook</v>
      </c>
      <c r="L663" s="13">
        <v>181</v>
      </c>
      <c r="M663" s="13">
        <v>278</v>
      </c>
      <c r="N663" s="13">
        <v>5</v>
      </c>
      <c r="O663" s="15"/>
      <c r="P663" s="6">
        <v>40962.827013888891</v>
      </c>
      <c r="Q663" s="18" t="s">
        <v>4147</v>
      </c>
      <c r="R663" s="19" t="s">
        <v>4148</v>
      </c>
      <c r="S663" s="12" t="s">
        <v>4150</v>
      </c>
      <c r="T663" s="11"/>
      <c r="U663" s="10" t="str">
        <f>HYPERLINK("https://pbs.twimg.com/profile_images/551089970229018628/200vlxTC.jpeg","View")</f>
        <v>View</v>
      </c>
    </row>
    <row r="664" spans="1:21" ht="20.399999999999999">
      <c r="A664" s="6">
        <v>43442.035127314812</v>
      </c>
      <c r="B664" s="7" t="str">
        <f>HYPERLINK("https://twitter.com/sumariumcom","@sumariumcom")</f>
        <v>@sumariumcom</v>
      </c>
      <c r="C664" s="8" t="s">
        <v>4153</v>
      </c>
      <c r="D664" s="9" t="s">
        <v>4154</v>
      </c>
      <c r="E664" s="10" t="str">
        <f>HYPERLINK("https://twitter.com/sumariumcom/status/1071190263522050048","1071190263522050048")</f>
        <v>1071190263522050048</v>
      </c>
      <c r="F664" s="12" t="s">
        <v>4156</v>
      </c>
      <c r="G664" s="12" t="s">
        <v>4157</v>
      </c>
      <c r="H664" s="11"/>
      <c r="I664" s="13">
        <v>0</v>
      </c>
      <c r="J664" s="13">
        <v>1</v>
      </c>
      <c r="K664" s="14" t="str">
        <f>HYPERLINK("https://about.twitter.com/products/tweetdeck","TweetDeck")</f>
        <v>TweetDeck</v>
      </c>
      <c r="L664" s="13">
        <v>164402</v>
      </c>
      <c r="M664" s="13">
        <v>996</v>
      </c>
      <c r="N664" s="13">
        <v>1122</v>
      </c>
      <c r="O664" s="15"/>
      <c r="P664" s="6">
        <v>40977.809594907405</v>
      </c>
      <c r="Q664" s="18" t="s">
        <v>4159</v>
      </c>
      <c r="R664" s="17"/>
      <c r="S664" s="12" t="s">
        <v>4160</v>
      </c>
      <c r="T664" s="11"/>
      <c r="U664" s="10" t="str">
        <f>HYPERLINK("https://pbs.twimg.com/profile_images/1061987847874469888/mok5IDTt.jpg","View")</f>
        <v>View</v>
      </c>
    </row>
    <row r="665" spans="1:21" ht="30.6">
      <c r="A665" s="6">
        <v>43442.03497685185</v>
      </c>
      <c r="B665" s="7" t="str">
        <f>HYPERLINK("https://twitter.com/Taboodelaney","@Taboodelaney")</f>
        <v>@Taboodelaney</v>
      </c>
      <c r="C665" s="8" t="s">
        <v>4162</v>
      </c>
      <c r="D665" s="9" t="s">
        <v>4163</v>
      </c>
      <c r="E665" s="10" t="str">
        <f>HYPERLINK("https://twitter.com/Taboodelaney/status/1071190210640261120","1071190210640261120")</f>
        <v>1071190210640261120</v>
      </c>
      <c r="F665" s="11"/>
      <c r="G665" s="11"/>
      <c r="H665" s="11"/>
      <c r="I665" s="13">
        <v>5</v>
      </c>
      <c r="J665" s="13">
        <v>7</v>
      </c>
      <c r="K665" s="14" t="str">
        <f>HYPERLINK("http://twitter.com/download/android","Twitter for Android")</f>
        <v>Twitter for Android</v>
      </c>
      <c r="L665" s="13">
        <v>1179</v>
      </c>
      <c r="M665" s="13">
        <v>1050</v>
      </c>
      <c r="N665" s="13">
        <v>2</v>
      </c>
      <c r="O665" s="15"/>
      <c r="P665" s="6">
        <v>43252.734421296293</v>
      </c>
      <c r="Q665" s="11"/>
      <c r="R665" s="19" t="s">
        <v>4165</v>
      </c>
      <c r="S665" s="11"/>
      <c r="T665" s="11"/>
      <c r="U665" s="10" t="str">
        <f>HYPERLINK("https://pbs.twimg.com/profile_images/1054075081960382466/6n7kVrx9.jpg","View")</f>
        <v>View</v>
      </c>
    </row>
    <row r="666" spans="1:21" ht="40.799999999999997">
      <c r="A666" s="6">
        <v>43442.033819444448</v>
      </c>
      <c r="B666" s="7" t="str">
        <f>HYPERLINK("https://twitter.com/NSMBolivia","@NSMBolivia")</f>
        <v>@NSMBolivia</v>
      </c>
      <c r="C666" s="8" t="s">
        <v>4168</v>
      </c>
      <c r="D666" s="9" t="s">
        <v>4169</v>
      </c>
      <c r="E666" s="10" t="str">
        <f>HYPERLINK("https://twitter.com/NSMBolivia/status/1071189791184687104","1071189791184687104")</f>
        <v>1071189791184687104</v>
      </c>
      <c r="F666" s="12" t="s">
        <v>4172</v>
      </c>
      <c r="G666" s="11"/>
      <c r="H666" s="11"/>
      <c r="I666" s="13">
        <v>0</v>
      </c>
      <c r="J666" s="13">
        <v>0</v>
      </c>
      <c r="K666" s="14" t="str">
        <f>HYPERLINK("http://www.facebook.com/twitter","Facebook")</f>
        <v>Facebook</v>
      </c>
      <c r="L666" s="13">
        <v>2504</v>
      </c>
      <c r="M666" s="13">
        <v>164</v>
      </c>
      <c r="N666" s="13">
        <v>16</v>
      </c>
      <c r="O666" s="15"/>
      <c r="P666" s="6">
        <v>40386.873136574075</v>
      </c>
      <c r="Q666" s="18" t="s">
        <v>1725</v>
      </c>
      <c r="R666" s="19" t="s">
        <v>4175</v>
      </c>
      <c r="S666" s="12" t="s">
        <v>4176</v>
      </c>
      <c r="T666" s="11"/>
      <c r="U666" s="10" t="str">
        <f>HYPERLINK("https://pbs.twimg.com/profile_images/1038148764270243840/jCexvXhP.jpg","View")</f>
        <v>View</v>
      </c>
    </row>
    <row r="667" spans="1:21" ht="40.799999999999997">
      <c r="A667" s="6">
        <v>43442.032152777778</v>
      </c>
      <c r="B667" s="7" t="str">
        <f>HYPERLINK("https://twitter.com/ChemadlCruz","@ChemadlCruz")</f>
        <v>@ChemadlCruz</v>
      </c>
      <c r="C667" s="8" t="s">
        <v>4182</v>
      </c>
      <c r="D667" s="9" t="s">
        <v>4183</v>
      </c>
      <c r="E667" s="10" t="str">
        <f>HYPERLINK("https://twitter.com/ChemadlCruz/status/1071189187393699840","1071189187393699840")</f>
        <v>1071189187393699840</v>
      </c>
      <c r="F667" s="12" t="s">
        <v>899</v>
      </c>
      <c r="G667" s="11"/>
      <c r="H667" s="11"/>
      <c r="I667" s="13">
        <v>0</v>
      </c>
      <c r="J667" s="13">
        <v>0</v>
      </c>
      <c r="K667" s="14" t="str">
        <f>HYPERLINK("http://twitter.com","Twitter Web Client")</f>
        <v>Twitter Web Client</v>
      </c>
      <c r="L667" s="13">
        <v>147</v>
      </c>
      <c r="M667" s="13">
        <v>884</v>
      </c>
      <c r="N667" s="13">
        <v>0</v>
      </c>
      <c r="O667" s="15"/>
      <c r="P667" s="6">
        <v>43423.536539351851</v>
      </c>
      <c r="Q667" s="18" t="s">
        <v>4188</v>
      </c>
      <c r="R667" s="19" t="s">
        <v>4189</v>
      </c>
      <c r="S667" s="11"/>
      <c r="T667" s="11"/>
      <c r="U667" s="10" t="str">
        <f>HYPERLINK("https://pbs.twimg.com/profile_images/1064546417656635393/0Q_HLiG4.jpg","View")</f>
        <v>View</v>
      </c>
    </row>
    <row r="668" spans="1:21" ht="40.799999999999997">
      <c r="A668" s="6">
        <v>43442.029664351852</v>
      </c>
      <c r="B668" s="7" t="str">
        <f>HYPERLINK("https://twitter.com/PdeSamos","@PdeSamos")</f>
        <v>@PdeSamos</v>
      </c>
      <c r="C668" s="8" t="s">
        <v>1432</v>
      </c>
      <c r="D668" s="9" t="s">
        <v>4191</v>
      </c>
      <c r="E668" s="10" t="str">
        <f>HYPERLINK("https://twitter.com/PdeSamos/status/1071188286759202817","1071188286759202817")</f>
        <v>1071188286759202817</v>
      </c>
      <c r="F668" s="12" t="s">
        <v>3685</v>
      </c>
      <c r="G668" s="11"/>
      <c r="H668" s="11"/>
      <c r="I668" s="13">
        <v>0</v>
      </c>
      <c r="J668" s="13">
        <v>0</v>
      </c>
      <c r="K668" s="14" t="str">
        <f>HYPERLINK("http://republico.ddns.net","App Libertad PdeSamos")</f>
        <v>App Libertad PdeSamos</v>
      </c>
      <c r="L668" s="13">
        <v>5398</v>
      </c>
      <c r="M668" s="13">
        <v>5441</v>
      </c>
      <c r="N668" s="13">
        <v>12</v>
      </c>
      <c r="O668" s="15"/>
      <c r="P668" s="6">
        <v>42889.820567129631</v>
      </c>
      <c r="Q668" s="18" t="s">
        <v>1336</v>
      </c>
      <c r="R668" s="19" t="s">
        <v>1438</v>
      </c>
      <c r="S668" s="11"/>
      <c r="T668" s="11"/>
      <c r="U668" s="10" t="str">
        <f>HYPERLINK("https://pbs.twimg.com/profile_images/871063742003511296/xK2IYbrO.jpg","View")</f>
        <v>View</v>
      </c>
    </row>
    <row r="669" spans="1:21" ht="20.399999999999999">
      <c r="A669" s="6">
        <v>43442.02952546296</v>
      </c>
      <c r="B669" s="7" t="str">
        <f>HYPERLINK("https://twitter.com/cochurra","@cochurra")</f>
        <v>@cochurra</v>
      </c>
      <c r="C669" s="8" t="s">
        <v>4195</v>
      </c>
      <c r="D669" s="9" t="s">
        <v>4196</v>
      </c>
      <c r="E669" s="10" t="str">
        <f>HYPERLINK("https://twitter.com/cochurra/status/1071188233365716992","1071188233365716992")</f>
        <v>1071188233365716992</v>
      </c>
      <c r="F669" s="12" t="s">
        <v>2803</v>
      </c>
      <c r="G669" s="11"/>
      <c r="H669" s="11"/>
      <c r="I669" s="13">
        <v>1</v>
      </c>
      <c r="J669" s="13">
        <v>2</v>
      </c>
      <c r="K669" s="14" t="str">
        <f>HYPERLINK("http://www.facebook.com/twitter","Facebook")</f>
        <v>Facebook</v>
      </c>
      <c r="L669" s="13">
        <v>5799</v>
      </c>
      <c r="M669" s="13">
        <v>6238</v>
      </c>
      <c r="N669" s="13">
        <v>35</v>
      </c>
      <c r="O669" s="15"/>
      <c r="P669" s="6">
        <v>41061.173449074078</v>
      </c>
      <c r="Q669" s="18" t="s">
        <v>2020</v>
      </c>
      <c r="R669" s="19" t="s">
        <v>4198</v>
      </c>
      <c r="S669" s="11"/>
      <c r="T669" s="11"/>
      <c r="U669" s="10" t="str">
        <f>HYPERLINK("https://pbs.twimg.com/profile_images/1055932545827856389/-_V0ryPY.jpg","View")</f>
        <v>View</v>
      </c>
    </row>
    <row r="670" spans="1:21" ht="20.399999999999999">
      <c r="A670" s="6">
        <v>43442.029074074075</v>
      </c>
      <c r="B670" s="7" t="str">
        <f>HYPERLINK("https://twitter.com/jerenet1","@jerenet1")</f>
        <v>@jerenet1</v>
      </c>
      <c r="C670" s="8" t="s">
        <v>4201</v>
      </c>
      <c r="D670" s="9" t="s">
        <v>1833</v>
      </c>
      <c r="E670" s="10" t="str">
        <f>HYPERLINK("https://twitter.com/jerenet1/status/1071188071356485632","1071188071356485632")</f>
        <v>1071188071356485632</v>
      </c>
      <c r="F670" s="12" t="s">
        <v>4204</v>
      </c>
      <c r="G670" s="11"/>
      <c r="H670" s="11"/>
      <c r="I670" s="13">
        <v>0</v>
      </c>
      <c r="J670" s="13">
        <v>0</v>
      </c>
      <c r="K670" s="14" t="str">
        <f>HYPERLINK("http://twitter.com","Twitter Web Client")</f>
        <v>Twitter Web Client</v>
      </c>
      <c r="L670" s="13">
        <v>192</v>
      </c>
      <c r="M670" s="13">
        <v>336</v>
      </c>
      <c r="N670" s="13">
        <v>6</v>
      </c>
      <c r="O670" s="15"/>
      <c r="P670" s="6">
        <v>41587.993472222224</v>
      </c>
      <c r="Q670" s="18" t="s">
        <v>1555</v>
      </c>
      <c r="R670" s="19" t="s">
        <v>4207</v>
      </c>
      <c r="S670" s="11"/>
      <c r="T670" s="11"/>
      <c r="U670" s="10" t="str">
        <f>HYPERLINK("https://pbs.twimg.com/profile_images/1069679120404094976/MP0NQaQk.jpg","View")</f>
        <v>View</v>
      </c>
    </row>
    <row r="671" spans="1:21" ht="71.400000000000006">
      <c r="A671" s="6">
        <v>43442.029050925921</v>
      </c>
      <c r="B671" s="7" t="str">
        <f>HYPERLINK("https://twitter.com/BabunitaSeco","@BabunitaSeco")</f>
        <v>@BabunitaSeco</v>
      </c>
      <c r="C671" s="8" t="s">
        <v>1249</v>
      </c>
      <c r="D671" s="9" t="s">
        <v>1285</v>
      </c>
      <c r="E671" s="10" t="str">
        <f>HYPERLINK("https://twitter.com/BabunitaSeco/status/1071188064712749056","1071188064712749056")</f>
        <v>1071188064712749056</v>
      </c>
      <c r="F671" s="12" t="s">
        <v>306</v>
      </c>
      <c r="G671" s="11"/>
      <c r="H671" s="11"/>
      <c r="I671" s="13">
        <v>1</v>
      </c>
      <c r="J671" s="13">
        <v>1</v>
      </c>
      <c r="K671" s="14" t="str">
        <f>HYPERLINK("https://mobile.twitter.com","Twitter Lite")</f>
        <v>Twitter Lite</v>
      </c>
      <c r="L671" s="13">
        <v>194</v>
      </c>
      <c r="M671" s="13">
        <v>258</v>
      </c>
      <c r="N671" s="13">
        <v>13</v>
      </c>
      <c r="O671" s="15"/>
      <c r="P671" s="6">
        <v>40689.45930555556</v>
      </c>
      <c r="Q671" s="18" t="s">
        <v>1253</v>
      </c>
      <c r="R671" s="17"/>
      <c r="S671" s="12" t="s">
        <v>1254</v>
      </c>
      <c r="T671" s="11"/>
      <c r="U671" s="10" t="str">
        <f>HYPERLINK("https://pbs.twimg.com/profile_images/1369508100/Avatar.gif","View")</f>
        <v>View</v>
      </c>
    </row>
    <row r="672" spans="1:21" ht="30.6">
      <c r="A672" s="6">
        <v>43442.029016203705</v>
      </c>
      <c r="B672" s="7" t="str">
        <f>HYPERLINK("https://twitter.com/LluisViguera","@LluisViguera")</f>
        <v>@LluisViguera</v>
      </c>
      <c r="C672" s="8" t="s">
        <v>1290</v>
      </c>
      <c r="D672" s="9" t="s">
        <v>1291</v>
      </c>
      <c r="E672" s="10" t="str">
        <f>HYPERLINK("https://twitter.com/LluisViguera/status/1071188050707968000","1071188050707968000")</f>
        <v>1071188050707968000</v>
      </c>
      <c r="F672" s="11"/>
      <c r="G672" s="12" t="s">
        <v>1292</v>
      </c>
      <c r="H672" s="11"/>
      <c r="I672" s="13">
        <v>0</v>
      </c>
      <c r="J672" s="13">
        <v>0</v>
      </c>
      <c r="K672" s="14" t="str">
        <f>HYPERLINK("http://twitter.com/download/iphone","Twitter for iPhone")</f>
        <v>Twitter for iPhone</v>
      </c>
      <c r="L672" s="13">
        <v>242</v>
      </c>
      <c r="M672" s="13">
        <v>742</v>
      </c>
      <c r="N672" s="13">
        <v>2</v>
      </c>
      <c r="O672" s="15"/>
      <c r="P672" s="6">
        <v>43242.548449074078</v>
      </c>
      <c r="Q672" s="18" t="s">
        <v>246</v>
      </c>
      <c r="R672" s="19" t="s">
        <v>1295</v>
      </c>
      <c r="S672" s="12" t="s">
        <v>1296</v>
      </c>
      <c r="T672" s="11"/>
      <c r="U672" s="10" t="str">
        <f>HYPERLINK("https://pbs.twimg.com/profile_images/1002848784123121664/ICuVlY2u.jpg","View")</f>
        <v>View</v>
      </c>
    </row>
    <row r="673" spans="1:21" ht="13.2">
      <c r="A673" s="6">
        <v>43442.028761574074</v>
      </c>
      <c r="B673" s="7" t="str">
        <f>HYPERLINK("https://twitter.com/Lilithsucb","@Lilithsucb")</f>
        <v>@Lilithsucb</v>
      </c>
      <c r="C673" s="8" t="s">
        <v>4213</v>
      </c>
      <c r="D673" s="9" t="s">
        <v>4214</v>
      </c>
      <c r="E673" s="10" t="str">
        <f>HYPERLINK("https://twitter.com/Lilithsucb/status/1071187958965944321","1071187958965944321")</f>
        <v>1071187958965944321</v>
      </c>
      <c r="F673" s="12" t="s">
        <v>1477</v>
      </c>
      <c r="G673" s="11"/>
      <c r="H673" s="11"/>
      <c r="I673" s="13">
        <v>2</v>
      </c>
      <c r="J673" s="13">
        <v>2</v>
      </c>
      <c r="K673" s="14" t="str">
        <f>HYPERLINK("http://twitter.com/download/android","Twitter for Android")</f>
        <v>Twitter for Android</v>
      </c>
      <c r="L673" s="13">
        <v>659</v>
      </c>
      <c r="M673" s="13">
        <v>742</v>
      </c>
      <c r="N673" s="13">
        <v>1</v>
      </c>
      <c r="O673" s="15"/>
      <c r="P673" s="6">
        <v>43045.158530092594</v>
      </c>
      <c r="Q673" s="11"/>
      <c r="R673" s="19" t="s">
        <v>4217</v>
      </c>
      <c r="S673" s="11"/>
      <c r="T673" s="11"/>
      <c r="U673" s="10" t="str">
        <f>HYPERLINK("https://pbs.twimg.com/profile_images/977954852759375872/Fv8fprB4.jpg","View")</f>
        <v>View</v>
      </c>
    </row>
    <row r="674" spans="1:21" ht="40.799999999999997">
      <c r="A674" s="6">
        <v>43442.028599537036</v>
      </c>
      <c r="B674" s="7" t="str">
        <f>HYPERLINK("https://twitter.com/dickie825","@dickie825")</f>
        <v>@dickie825</v>
      </c>
      <c r="C674" s="8" t="s">
        <v>4219</v>
      </c>
      <c r="D674" s="9" t="s">
        <v>4220</v>
      </c>
      <c r="E674" s="10" t="str">
        <f>HYPERLINK("https://twitter.com/dickie825/status/1071187898697957377","1071187898697957377")</f>
        <v>1071187898697957377</v>
      </c>
      <c r="F674" s="12" t="s">
        <v>4221</v>
      </c>
      <c r="G674" s="12" t="s">
        <v>4222</v>
      </c>
      <c r="H674" s="11"/>
      <c r="I674" s="13">
        <v>0</v>
      </c>
      <c r="J674" s="13">
        <v>0</v>
      </c>
      <c r="K674" s="14" t="str">
        <f>HYPERLINK("https://dlvrit.com/","dlvr.it")</f>
        <v>dlvr.it</v>
      </c>
      <c r="L674" s="13">
        <v>3495</v>
      </c>
      <c r="M674" s="13">
        <v>2408</v>
      </c>
      <c r="N674" s="13">
        <v>23</v>
      </c>
      <c r="O674" s="15"/>
      <c r="P674" s="6">
        <v>41702.926354166666</v>
      </c>
      <c r="Q674" s="18" t="s">
        <v>4223</v>
      </c>
      <c r="R674" s="19" t="s">
        <v>4224</v>
      </c>
      <c r="S674" s="12" t="s">
        <v>4225</v>
      </c>
      <c r="T674" s="11"/>
      <c r="U674" s="10" t="str">
        <f>HYPERLINK("https://pbs.twimg.com/profile_images/462982799574581250/pOhVVnh8.png","View")</f>
        <v>View</v>
      </c>
    </row>
    <row r="675" spans="1:21" ht="20.399999999999999">
      <c r="A675" s="6">
        <v>43442.028194444443</v>
      </c>
      <c r="B675" s="7" t="str">
        <f>HYPERLINK("https://twitter.com/mariluz77659162","@mariluz77659162")</f>
        <v>@mariluz77659162</v>
      </c>
      <c r="C675" s="8" t="s">
        <v>2970</v>
      </c>
      <c r="D675" s="9" t="s">
        <v>813</v>
      </c>
      <c r="E675" s="10" t="str">
        <f>HYPERLINK("https://twitter.com/mariluz77659162/status/1071187750974574595","1071187750974574595")</f>
        <v>1071187750974574595</v>
      </c>
      <c r="F675" s="12" t="s">
        <v>4228</v>
      </c>
      <c r="G675" s="11"/>
      <c r="H675" s="11"/>
      <c r="I675" s="13">
        <v>0</v>
      </c>
      <c r="J675" s="13">
        <v>0</v>
      </c>
      <c r="K675" s="14" t="str">
        <f>HYPERLINK("http://twitter.com","Twitter Web Client")</f>
        <v>Twitter Web Client</v>
      </c>
      <c r="L675" s="13">
        <v>383</v>
      </c>
      <c r="M675" s="13">
        <v>849</v>
      </c>
      <c r="N675" s="13">
        <v>4</v>
      </c>
      <c r="O675" s="15"/>
      <c r="P675" s="6">
        <v>41089.008055555554</v>
      </c>
      <c r="Q675" s="11"/>
      <c r="R675" s="17"/>
      <c r="S675" s="11"/>
      <c r="T675" s="11"/>
      <c r="U675" s="10" t="str">
        <f>HYPERLINK("https://pbs.twimg.com/profile_images/378800000017404521/0e838a54ff82eba1e4b8642f2e08dd6d.jpeg","View")</f>
        <v>View</v>
      </c>
    </row>
    <row r="676" spans="1:21" ht="30.6">
      <c r="A676" s="6">
        <v>43442.027326388888</v>
      </c>
      <c r="B676" s="7" t="str">
        <f>HYPERLINK("https://twitter.com/CepedaRocan","@CepedaRocan")</f>
        <v>@CepedaRocan</v>
      </c>
      <c r="C676" s="8" t="s">
        <v>4230</v>
      </c>
      <c r="D676" s="9" t="s">
        <v>4231</v>
      </c>
      <c r="E676" s="10" t="str">
        <f>HYPERLINK("https://twitter.com/CepedaRocan/status/1071187437630578690","1071187437630578690")</f>
        <v>1071187437630578690</v>
      </c>
      <c r="F676" s="12" t="s">
        <v>4234</v>
      </c>
      <c r="G676" s="11"/>
      <c r="H676" s="11"/>
      <c r="I676" s="13">
        <v>0</v>
      </c>
      <c r="J676" s="13">
        <v>0</v>
      </c>
      <c r="K676" s="14" t="str">
        <f t="shared" ref="K676:K678" si="131">HYPERLINK("http://twitter.com/download/android","Twitter for Android")</f>
        <v>Twitter for Android</v>
      </c>
      <c r="L676" s="13">
        <v>124</v>
      </c>
      <c r="M676" s="13">
        <v>76</v>
      </c>
      <c r="N676" s="13">
        <v>1</v>
      </c>
      <c r="O676" s="15"/>
      <c r="P676" s="6">
        <v>42211.851122685184</v>
      </c>
      <c r="Q676" s="11"/>
      <c r="R676" s="17"/>
      <c r="S676" s="11"/>
      <c r="T676" s="11"/>
      <c r="U676" s="10" t="str">
        <f>HYPERLINK("https://pbs.twimg.com/profile_images/916944544402432000/l20vIdeB.jpg","View")</f>
        <v>View</v>
      </c>
    </row>
    <row r="677" spans="1:21" ht="30.6">
      <c r="A677" s="6">
        <v>43442.024733796294</v>
      </c>
      <c r="B677" s="7" t="str">
        <f>HYPERLINK("https://twitter.com/APRIL03678231","@APRIL03678231")</f>
        <v>@APRIL03678231</v>
      </c>
      <c r="C677" s="8" t="s">
        <v>1264</v>
      </c>
      <c r="D677" s="9" t="s">
        <v>1265</v>
      </c>
      <c r="E677" s="10" t="str">
        <f>HYPERLINK("https://twitter.com/APRIL03678231/status/1071186499381678081","1071186499381678081")</f>
        <v>1071186499381678081</v>
      </c>
      <c r="F677" s="11"/>
      <c r="G677" s="12" t="s">
        <v>4236</v>
      </c>
      <c r="H677" s="11"/>
      <c r="I677" s="13">
        <v>1</v>
      </c>
      <c r="J677" s="13">
        <v>2</v>
      </c>
      <c r="K677" s="14" t="str">
        <f t="shared" si="131"/>
        <v>Twitter for Android</v>
      </c>
      <c r="L677" s="13">
        <v>40</v>
      </c>
      <c r="M677" s="13">
        <v>217</v>
      </c>
      <c r="N677" s="13">
        <v>0</v>
      </c>
      <c r="O677" s="15"/>
      <c r="P677" s="6">
        <v>42928.378564814819</v>
      </c>
      <c r="Q677" s="18" t="s">
        <v>260</v>
      </c>
      <c r="R677" s="19" t="s">
        <v>1268</v>
      </c>
      <c r="S677" s="11"/>
      <c r="T677" s="11"/>
      <c r="U677" s="10" t="str">
        <f>HYPERLINK("https://pbs.twimg.com/profile_images/885870012287897600/BeBJr_2p.jpg","View")</f>
        <v>View</v>
      </c>
    </row>
    <row r="678" spans="1:21" ht="51">
      <c r="A678" s="6">
        <v>43442.02407407407</v>
      </c>
      <c r="B678" s="7" t="str">
        <f>HYPERLINK("https://twitter.com/Redversiva","@Redversiva")</f>
        <v>@Redversiva</v>
      </c>
      <c r="C678" s="8" t="s">
        <v>4238</v>
      </c>
      <c r="D678" s="9" t="s">
        <v>4239</v>
      </c>
      <c r="E678" s="10" t="str">
        <f>HYPERLINK("https://twitter.com/Redversiva/status/1071186260943953920","1071186260943953920")</f>
        <v>1071186260943953920</v>
      </c>
      <c r="F678" s="11"/>
      <c r="G678" s="11"/>
      <c r="H678" s="11"/>
      <c r="I678" s="13">
        <v>0</v>
      </c>
      <c r="J678" s="13">
        <v>0</v>
      </c>
      <c r="K678" s="14" t="str">
        <f t="shared" si="131"/>
        <v>Twitter for Android</v>
      </c>
      <c r="L678" s="13">
        <v>91</v>
      </c>
      <c r="M678" s="13">
        <v>440</v>
      </c>
      <c r="N678" s="13">
        <v>2</v>
      </c>
      <c r="O678" s="15"/>
      <c r="P678" s="6">
        <v>42494.724618055552</v>
      </c>
      <c r="Q678" s="18" t="s">
        <v>4241</v>
      </c>
      <c r="R678" s="19" t="s">
        <v>4242</v>
      </c>
      <c r="S678" s="11"/>
      <c r="T678" s="11"/>
      <c r="U678" s="10" t="str">
        <f>HYPERLINK("https://pbs.twimg.com/profile_images/775105553492275200/2kZujdeS.jpg","View")</f>
        <v>View</v>
      </c>
    </row>
    <row r="679" spans="1:21" ht="30.6">
      <c r="A679" s="6">
        <v>43442.022222222222</v>
      </c>
      <c r="B679" s="7" t="str">
        <f>HYPERLINK("https://twitter.com/ElHuffPost","@ElHuffPost")</f>
        <v>@ElHuffPost</v>
      </c>
      <c r="C679" s="8" t="s">
        <v>517</v>
      </c>
      <c r="D679" s="9" t="s">
        <v>518</v>
      </c>
      <c r="E679" s="10" t="str">
        <f>HYPERLINK("https://twitter.com/ElHuffPost/status/1071185587502235659","1071185587502235659")</f>
        <v>1071185587502235659</v>
      </c>
      <c r="F679" s="12" t="s">
        <v>521</v>
      </c>
      <c r="G679" s="11"/>
      <c r="H679" s="11"/>
      <c r="I679" s="13">
        <v>2</v>
      </c>
      <c r="J679" s="13">
        <v>1</v>
      </c>
      <c r="K679" s="14" t="str">
        <f>HYPERLINK("https://about.twitter.com/products/tweetdeck","TweetDeck")</f>
        <v>TweetDeck</v>
      </c>
      <c r="L679" s="13">
        <v>431181</v>
      </c>
      <c r="M679" s="13">
        <v>1551</v>
      </c>
      <c r="N679" s="13">
        <v>8205</v>
      </c>
      <c r="O679" s="16" t="s">
        <v>25</v>
      </c>
      <c r="P679" s="6">
        <v>40785.027118055557</v>
      </c>
      <c r="Q679" s="18" t="s">
        <v>100</v>
      </c>
      <c r="R679" s="19" t="s">
        <v>523</v>
      </c>
      <c r="S679" s="12" t="s">
        <v>524</v>
      </c>
      <c r="T679" s="11"/>
      <c r="U679" s="10" t="str">
        <f>HYPERLINK("https://pbs.twimg.com/profile_images/921140803422089217/ETOEUOAx.jpg","View")</f>
        <v>View</v>
      </c>
    </row>
    <row r="680" spans="1:21" ht="40.799999999999997">
      <c r="A680" s="6">
        <v>43442.022141203706</v>
      </c>
      <c r="B680" s="7" t="str">
        <f>HYPERLINK("https://twitter.com/AntonioPatn","@AntonioPatn")</f>
        <v>@AntonioPatn</v>
      </c>
      <c r="C680" s="8" t="s">
        <v>4249</v>
      </c>
      <c r="D680" s="9" t="s">
        <v>2826</v>
      </c>
      <c r="E680" s="10" t="str">
        <f>HYPERLINK("https://twitter.com/AntonioPatn/status/1071185559379435520","1071185559379435520")</f>
        <v>1071185559379435520</v>
      </c>
      <c r="F680" s="12" t="s">
        <v>4251</v>
      </c>
      <c r="G680" s="11"/>
      <c r="H680" s="11"/>
      <c r="I680" s="13">
        <v>0</v>
      </c>
      <c r="J680" s="13">
        <v>0</v>
      </c>
      <c r="K680" s="14" t="str">
        <f>HYPERLINK("http://twitter.com","Twitter Web Client")</f>
        <v>Twitter Web Client</v>
      </c>
      <c r="L680" s="13">
        <v>710</v>
      </c>
      <c r="M680" s="13">
        <v>954</v>
      </c>
      <c r="N680" s="13">
        <v>18</v>
      </c>
      <c r="O680" s="15"/>
      <c r="P680" s="6">
        <v>41706.608113425929</v>
      </c>
      <c r="Q680" s="18" t="s">
        <v>3320</v>
      </c>
      <c r="R680" s="19" t="s">
        <v>4253</v>
      </c>
      <c r="S680" s="11"/>
      <c r="T680" s="11"/>
      <c r="U680" s="10" t="str">
        <f>HYPERLINK("https://pbs.twimg.com/profile_images/1042730538388348928/7GZI62Og.jpg","View")</f>
        <v>View</v>
      </c>
    </row>
    <row r="681" spans="1:21" ht="40.799999999999997">
      <c r="A681" s="6">
        <v>43442.02070601852</v>
      </c>
      <c r="B681" s="7" t="str">
        <f>HYPERLINK("https://twitter.com/BOOMERANGG1","@BOOMERANGG1")</f>
        <v>@BOOMERANGG1</v>
      </c>
      <c r="C681" s="8" t="s">
        <v>3206</v>
      </c>
      <c r="D681" s="9" t="s">
        <v>4256</v>
      </c>
      <c r="E681" s="10" t="str">
        <f>HYPERLINK("https://twitter.com/BOOMERANGG1/status/1071185037775781889","1071185037775781889")</f>
        <v>1071185037775781889</v>
      </c>
      <c r="F681" s="12" t="s">
        <v>4257</v>
      </c>
      <c r="G681" s="11"/>
      <c r="H681" s="11"/>
      <c r="I681" s="13">
        <v>1</v>
      </c>
      <c r="J681" s="13">
        <v>1</v>
      </c>
      <c r="K681" s="14" t="str">
        <f t="shared" ref="K681:K684" si="132">HYPERLINK("http://twitter.com/download/android","Twitter for Android")</f>
        <v>Twitter for Android</v>
      </c>
      <c r="L681" s="13">
        <v>1724</v>
      </c>
      <c r="M681" s="13">
        <v>3578</v>
      </c>
      <c r="N681" s="13">
        <v>4</v>
      </c>
      <c r="O681" s="15"/>
      <c r="P681" s="6">
        <v>40966.004363425927</v>
      </c>
      <c r="Q681" s="18" t="s">
        <v>42</v>
      </c>
      <c r="R681" s="19" t="s">
        <v>3209</v>
      </c>
      <c r="S681" s="11"/>
      <c r="T681" s="11"/>
      <c r="U681" s="10" t="str">
        <f>HYPERLINK("https://pbs.twimg.com/profile_images/1856358263/BOOMERANGG1.JPG","View")</f>
        <v>View</v>
      </c>
    </row>
    <row r="682" spans="1:21" ht="30.6">
      <c r="A682" s="6">
        <v>43442.018113425926</v>
      </c>
      <c r="B682" s="7" t="str">
        <f>HYPERLINK("https://twitter.com/AThable","@AThable")</f>
        <v>@AThable</v>
      </c>
      <c r="C682" s="8" t="s">
        <v>1592</v>
      </c>
      <c r="D682" s="9" t="s">
        <v>4260</v>
      </c>
      <c r="E682" s="10" t="str">
        <f>HYPERLINK("https://twitter.com/AThable/status/1071184098247524353","1071184098247524353")</f>
        <v>1071184098247524353</v>
      </c>
      <c r="F682" s="12" t="s">
        <v>296</v>
      </c>
      <c r="G682" s="11"/>
      <c r="H682" s="11"/>
      <c r="I682" s="13">
        <v>0</v>
      </c>
      <c r="J682" s="13">
        <v>0</v>
      </c>
      <c r="K682" s="14" t="str">
        <f t="shared" si="132"/>
        <v>Twitter for Android</v>
      </c>
      <c r="L682" s="13">
        <v>135</v>
      </c>
      <c r="M682" s="13">
        <v>254</v>
      </c>
      <c r="N682" s="13">
        <v>4</v>
      </c>
      <c r="O682" s="15"/>
      <c r="P682" s="6">
        <v>41734.528715277775</v>
      </c>
      <c r="Q682" s="11"/>
      <c r="R682" s="17"/>
      <c r="S682" s="11"/>
      <c r="T682" s="11"/>
      <c r="U682" s="10" t="str">
        <f>HYPERLINK("https://pbs.twimg.com/profile_images/452396308738105344/uAoxhinN.jpeg","View")</f>
        <v>View</v>
      </c>
    </row>
    <row r="683" spans="1:21" ht="40.799999999999997">
      <c r="A683" s="6">
        <v>43442.018067129626</v>
      </c>
      <c r="B683" s="7" t="str">
        <f>HYPERLINK("https://twitter.com/charlypv81","@charlypv81")</f>
        <v>@charlypv81</v>
      </c>
      <c r="C683" s="8" t="s">
        <v>4267</v>
      </c>
      <c r="D683" s="9" t="s">
        <v>4268</v>
      </c>
      <c r="E683" s="10" t="str">
        <f>HYPERLINK("https://twitter.com/charlypv81/status/1071184083827462144","1071184083827462144")</f>
        <v>1071184083827462144</v>
      </c>
      <c r="F683" s="11"/>
      <c r="G683" s="11"/>
      <c r="H683" s="11"/>
      <c r="I683" s="13">
        <v>0</v>
      </c>
      <c r="J683" s="13">
        <v>4</v>
      </c>
      <c r="K683" s="14" t="str">
        <f t="shared" si="132"/>
        <v>Twitter for Android</v>
      </c>
      <c r="L683" s="13">
        <v>204</v>
      </c>
      <c r="M683" s="13">
        <v>378</v>
      </c>
      <c r="N683" s="13">
        <v>0</v>
      </c>
      <c r="O683" s="15"/>
      <c r="P683" s="6">
        <v>41174.079861111109</v>
      </c>
      <c r="Q683" s="18" t="s">
        <v>4271</v>
      </c>
      <c r="R683" s="19" t="s">
        <v>4272</v>
      </c>
      <c r="S683" s="11"/>
      <c r="T683" s="11"/>
      <c r="U683" s="10" t="str">
        <f>HYPERLINK("https://pbs.twimg.com/profile_images/1012176097109307392/BFyO2HLN.jpg","View")</f>
        <v>View</v>
      </c>
    </row>
    <row r="684" spans="1:21" ht="20.399999999999999">
      <c r="A684" s="6">
        <v>43442.017951388887</v>
      </c>
      <c r="B684" s="7" t="str">
        <f>HYPERLINK("https://twitter.com/BelinchonEstela","@BelinchonEstela")</f>
        <v>@BelinchonEstela</v>
      </c>
      <c r="C684" s="8" t="s">
        <v>4274</v>
      </c>
      <c r="D684" s="9" t="s">
        <v>163</v>
      </c>
      <c r="E684" s="10" t="str">
        <f>HYPERLINK("https://twitter.com/BelinchonEstela/status/1071184040491917313","1071184040491917313")</f>
        <v>1071184040491917313</v>
      </c>
      <c r="F684" s="12" t="s">
        <v>166</v>
      </c>
      <c r="G684" s="11"/>
      <c r="H684" s="11"/>
      <c r="I684" s="13">
        <v>1</v>
      </c>
      <c r="J684" s="13">
        <v>2</v>
      </c>
      <c r="K684" s="14" t="str">
        <f t="shared" si="132"/>
        <v>Twitter for Android</v>
      </c>
      <c r="L684" s="13">
        <v>164</v>
      </c>
      <c r="M684" s="13">
        <v>299</v>
      </c>
      <c r="N684" s="13">
        <v>1</v>
      </c>
      <c r="O684" s="15"/>
      <c r="P684" s="6">
        <v>43409.941076388888</v>
      </c>
      <c r="Q684" s="11"/>
      <c r="R684" s="19" t="s">
        <v>4276</v>
      </c>
      <c r="S684" s="11"/>
      <c r="T684" s="11"/>
      <c r="U684" s="10" t="str">
        <f>HYPERLINK("https://pbs.twimg.com/profile_images/1059560034189918209/FLgHFHOB.jpg","View")</f>
        <v>View</v>
      </c>
    </row>
    <row r="685" spans="1:21" ht="91.8">
      <c r="A685" s="6">
        <v>43442.017638888894</v>
      </c>
      <c r="B685" s="7" t="str">
        <f>HYPERLINK("https://twitter.com/_alfredodiaz_","@_alfredodiaz_")</f>
        <v>@_alfredodiaz_</v>
      </c>
      <c r="C685" s="8" t="s">
        <v>4279</v>
      </c>
      <c r="D685" s="9" t="s">
        <v>4280</v>
      </c>
      <c r="E685" s="10" t="str">
        <f>HYPERLINK("https://twitter.com/_alfredodiaz_/status/1071183927614824448","1071183927614824448")</f>
        <v>1071183927614824448</v>
      </c>
      <c r="F685" s="12" t="s">
        <v>44</v>
      </c>
      <c r="G685" s="11"/>
      <c r="H685" s="11"/>
      <c r="I685" s="13">
        <v>0</v>
      </c>
      <c r="J685" s="13">
        <v>0</v>
      </c>
      <c r="K685" s="14" t="str">
        <f>HYPERLINK("http://twitter.com","Twitter Web Client")</f>
        <v>Twitter Web Client</v>
      </c>
      <c r="L685" s="13">
        <v>225</v>
      </c>
      <c r="M685" s="13">
        <v>445</v>
      </c>
      <c r="N685" s="13">
        <v>1</v>
      </c>
      <c r="O685" s="15"/>
      <c r="P685" s="6">
        <v>41297.642500000002</v>
      </c>
      <c r="Q685" s="18" t="s">
        <v>41</v>
      </c>
      <c r="R685" s="19" t="s">
        <v>4281</v>
      </c>
      <c r="S685" s="12" t="s">
        <v>4283</v>
      </c>
      <c r="T685" s="11"/>
      <c r="U685" s="10" t="str">
        <f>HYPERLINK("https://pbs.twimg.com/profile_images/1069332101009428480/-TZFcUhf.jpg","View")</f>
        <v>View</v>
      </c>
    </row>
    <row r="686" spans="1:21" ht="102">
      <c r="A686" s="6">
        <v>43442.014490740738</v>
      </c>
      <c r="B686" s="7" t="str">
        <f>HYPERLINK("https://twitter.com/VoxAlemania","@VoxAlemania")</f>
        <v>@VoxAlemania</v>
      </c>
      <c r="C686" s="8" t="s">
        <v>4284</v>
      </c>
      <c r="D686" s="9" t="s">
        <v>4285</v>
      </c>
      <c r="E686" s="10" t="str">
        <f>HYPERLINK("https://twitter.com/VoxAlemania/status/1071182784125915141","1071182784125915141")</f>
        <v>1071182784125915141</v>
      </c>
      <c r="F686" s="18" t="s">
        <v>63</v>
      </c>
      <c r="G686" s="11"/>
      <c r="H686" s="11"/>
      <c r="I686" s="13">
        <v>9</v>
      </c>
      <c r="J686" s="13">
        <v>15</v>
      </c>
      <c r="K686" s="14" t="str">
        <f>HYPERLINK("https://mobile.twitter.com","Twitter Lite")</f>
        <v>Twitter Lite</v>
      </c>
      <c r="L686" s="13">
        <v>744</v>
      </c>
      <c r="M686" s="13">
        <v>494</v>
      </c>
      <c r="N686" s="13">
        <v>2</v>
      </c>
      <c r="O686" s="15"/>
      <c r="P686" s="6">
        <v>43269.795023148152</v>
      </c>
      <c r="Q686" s="18" t="s">
        <v>4288</v>
      </c>
      <c r="R686" s="19" t="s">
        <v>4290</v>
      </c>
      <c r="S686" s="11"/>
      <c r="T686" s="11"/>
      <c r="U686" s="10" t="str">
        <f>HYPERLINK("https://pbs.twimg.com/profile_images/1008758172327301120/xhgdd2iH.jpg","View")</f>
        <v>View</v>
      </c>
    </row>
    <row r="687" spans="1:21" ht="20.399999999999999">
      <c r="A687" s="6">
        <v>43442.014027777783</v>
      </c>
      <c r="B687" s="7" t="str">
        <f>HYPERLINK("https://twitter.com/Libertaddemocr3","@Libertaddemocr3")</f>
        <v>@Libertaddemocr3</v>
      </c>
      <c r="C687" s="8" t="s">
        <v>4292</v>
      </c>
      <c r="D687" s="9" t="s">
        <v>4293</v>
      </c>
      <c r="E687" s="10" t="str">
        <f>HYPERLINK("https://twitter.com/Libertaddemocr3/status/1071182619725967361","1071182619725967361")</f>
        <v>1071182619725967361</v>
      </c>
      <c r="F687" s="11"/>
      <c r="G687" s="12" t="s">
        <v>4294</v>
      </c>
      <c r="H687" s="11"/>
      <c r="I687" s="13">
        <v>19</v>
      </c>
      <c r="J687" s="13">
        <v>27</v>
      </c>
      <c r="K687" s="14" t="str">
        <f t="shared" ref="K687:K688" si="133">HYPERLINK("http://twitter.com/download/android","Twitter for Android")</f>
        <v>Twitter for Android</v>
      </c>
      <c r="L687" s="13">
        <v>4080</v>
      </c>
      <c r="M687" s="13">
        <v>5001</v>
      </c>
      <c r="N687" s="13">
        <v>9</v>
      </c>
      <c r="O687" s="15"/>
      <c r="P687" s="6">
        <v>43011.577939814815</v>
      </c>
      <c r="Q687" s="18" t="s">
        <v>42</v>
      </c>
      <c r="R687" s="28" t="s">
        <v>4296</v>
      </c>
      <c r="S687" s="12" t="s">
        <v>4296</v>
      </c>
      <c r="T687" s="11"/>
      <c r="U687" s="10" t="str">
        <f>HYPERLINK("https://pbs.twimg.com/profile_images/917371224170336257/931ApJKY.jpg","View")</f>
        <v>View</v>
      </c>
    </row>
    <row r="688" spans="1:21" ht="20.399999999999999">
      <c r="A688" s="6">
        <v>43442.012615740736</v>
      </c>
      <c r="B688" s="7" t="str">
        <f>HYPERLINK("https://twitter.com/MiperroJaiboy","@MiperroJaiboy")</f>
        <v>@MiperroJaiboy</v>
      </c>
      <c r="C688" s="8" t="s">
        <v>4298</v>
      </c>
      <c r="D688" s="9" t="s">
        <v>4299</v>
      </c>
      <c r="E688" s="10" t="str">
        <f>HYPERLINK("https://twitter.com/MiperroJaiboy/status/1071182107223805952","1071182107223805952")</f>
        <v>1071182107223805952</v>
      </c>
      <c r="F688" s="11"/>
      <c r="G688" s="11"/>
      <c r="H688" s="11"/>
      <c r="I688" s="13">
        <v>2</v>
      </c>
      <c r="J688" s="13">
        <v>0</v>
      </c>
      <c r="K688" s="14" t="str">
        <f t="shared" si="133"/>
        <v>Twitter for Android</v>
      </c>
      <c r="L688" s="13">
        <v>1</v>
      </c>
      <c r="M688" s="13">
        <v>3</v>
      </c>
      <c r="N688" s="13">
        <v>0</v>
      </c>
      <c r="O688" s="15"/>
      <c r="P688" s="6">
        <v>43026.759918981479</v>
      </c>
      <c r="Q688" s="11"/>
      <c r="R688" s="17"/>
      <c r="S688" s="11"/>
      <c r="T688" s="11"/>
      <c r="U688" s="10" t="str">
        <f>HYPERLINK("https://pbs.twimg.com/profile_images/1010288191453134848/Jspk_6mc.jpg","View")</f>
        <v>View</v>
      </c>
    </row>
    <row r="689" spans="1:21" ht="20.399999999999999">
      <c r="A689" s="6">
        <v>43442.012361111112</v>
      </c>
      <c r="B689" s="7" t="str">
        <f>HYPERLINK("https://twitter.com/Vzaino1","@Vzaino1")</f>
        <v>@Vzaino1</v>
      </c>
      <c r="C689" s="8" t="s">
        <v>381</v>
      </c>
      <c r="D689" s="9" t="s">
        <v>3010</v>
      </c>
      <c r="E689" s="10" t="str">
        <f>HYPERLINK("https://twitter.com/Vzaino1/status/1071182014013833217","1071182014013833217")</f>
        <v>1071182014013833217</v>
      </c>
      <c r="F689" s="12" t="s">
        <v>3011</v>
      </c>
      <c r="G689" s="11"/>
      <c r="H689" s="11"/>
      <c r="I689" s="13">
        <v>1</v>
      </c>
      <c r="J689" s="13">
        <v>1</v>
      </c>
      <c r="K689" s="14" t="str">
        <f>HYPERLINK("http://twitter.com","Twitter Web Client")</f>
        <v>Twitter Web Client</v>
      </c>
      <c r="L689" s="13">
        <v>287</v>
      </c>
      <c r="M689" s="13">
        <v>654</v>
      </c>
      <c r="N689" s="13">
        <v>0</v>
      </c>
      <c r="O689" s="15"/>
      <c r="P689" s="6">
        <v>43402.79069444444</v>
      </c>
      <c r="Q689" s="11"/>
      <c r="R689" s="19" t="s">
        <v>383</v>
      </c>
      <c r="S689" s="11"/>
      <c r="T689" s="11"/>
      <c r="U689" s="16" t="s">
        <v>191</v>
      </c>
    </row>
    <row r="690" spans="1:21" ht="40.799999999999997">
      <c r="A690" s="6">
        <v>43442.012337962966</v>
      </c>
      <c r="B690" s="7" t="str">
        <f>HYPERLINK("https://twitter.com/ftmiron","@ftmiron")</f>
        <v>@ftmiron</v>
      </c>
      <c r="C690" s="8" t="s">
        <v>1298</v>
      </c>
      <c r="D690" s="9" t="s">
        <v>1299</v>
      </c>
      <c r="E690" s="10" t="str">
        <f>HYPERLINK("https://twitter.com/ftmiron/status/1071182006409662465","1071182006409662465")</f>
        <v>1071182006409662465</v>
      </c>
      <c r="F690" s="11"/>
      <c r="G690" s="11"/>
      <c r="H690" s="11"/>
      <c r="I690" s="13">
        <v>0</v>
      </c>
      <c r="J690" s="13">
        <v>0</v>
      </c>
      <c r="K690" s="14" t="str">
        <f>HYPERLINK("https://mobile.twitter.com","Twitter Lite")</f>
        <v>Twitter Lite</v>
      </c>
      <c r="L690" s="13">
        <v>116</v>
      </c>
      <c r="M690" s="13">
        <v>289</v>
      </c>
      <c r="N690" s="13">
        <v>0</v>
      </c>
      <c r="O690" s="15"/>
      <c r="P690" s="6">
        <v>40553.846608796295</v>
      </c>
      <c r="Q690" s="11"/>
      <c r="R690" s="17"/>
      <c r="S690" s="11"/>
      <c r="T690" s="11"/>
      <c r="U690" s="10" t="str">
        <f>HYPERLINK("https://pbs.twimg.com/profile_images/2387571704/2fsfhm73iy9pu7j72box.jpeg","View")</f>
        <v>View</v>
      </c>
    </row>
    <row r="691" spans="1:21" ht="20.399999999999999">
      <c r="A691" s="6">
        <v>43442.012314814812</v>
      </c>
      <c r="B691" s="7" t="str">
        <f>HYPERLINK("https://twitter.com/Vzaino1","@Vzaino1")</f>
        <v>@Vzaino1</v>
      </c>
      <c r="C691" s="8" t="s">
        <v>381</v>
      </c>
      <c r="D691" s="9" t="s">
        <v>3010</v>
      </c>
      <c r="E691" s="10" t="str">
        <f>HYPERLINK("https://twitter.com/Vzaino1/status/1071181999652700161","1071181999652700161")</f>
        <v>1071181999652700161</v>
      </c>
      <c r="F691" s="12" t="s">
        <v>3011</v>
      </c>
      <c r="G691" s="11"/>
      <c r="H691" s="11"/>
      <c r="I691" s="13">
        <v>0</v>
      </c>
      <c r="J691" s="13">
        <v>0</v>
      </c>
      <c r="K691" s="14" t="str">
        <f>HYPERLINK("http://twitter.com","Twitter Web Client")</f>
        <v>Twitter Web Client</v>
      </c>
      <c r="L691" s="13">
        <v>287</v>
      </c>
      <c r="M691" s="13">
        <v>654</v>
      </c>
      <c r="N691" s="13">
        <v>0</v>
      </c>
      <c r="O691" s="15"/>
      <c r="P691" s="6">
        <v>43402.79069444444</v>
      </c>
      <c r="Q691" s="11"/>
      <c r="R691" s="19" t="s">
        <v>383</v>
      </c>
      <c r="S691" s="11"/>
      <c r="T691" s="11"/>
      <c r="U691" s="16" t="s">
        <v>191</v>
      </c>
    </row>
    <row r="692" spans="1:21" ht="30.6">
      <c r="A692" s="6">
        <v>43442.012152777781</v>
      </c>
      <c r="B692" s="7" t="str">
        <f>HYPERLINK("https://twitter.com/asburygirl67","@asburygirl67")</f>
        <v>@asburygirl67</v>
      </c>
      <c r="C692" s="8" t="s">
        <v>4312</v>
      </c>
      <c r="D692" s="9" t="s">
        <v>4313</v>
      </c>
      <c r="E692" s="10" t="str">
        <f>HYPERLINK("https://twitter.com/asburygirl67/status/1071181938889764864","1071181938889764864")</f>
        <v>1071181938889764864</v>
      </c>
      <c r="F692" s="12" t="s">
        <v>1526</v>
      </c>
      <c r="G692" s="11"/>
      <c r="H692" s="11"/>
      <c r="I692" s="13">
        <v>0</v>
      </c>
      <c r="J692" s="13">
        <v>1</v>
      </c>
      <c r="K692" s="14" t="str">
        <f>HYPERLINK("http://twitter.com/download/android","Twitter for Android")</f>
        <v>Twitter for Android</v>
      </c>
      <c r="L692" s="13">
        <v>688</v>
      </c>
      <c r="M692" s="13">
        <v>231</v>
      </c>
      <c r="N692" s="13">
        <v>4</v>
      </c>
      <c r="O692" s="15"/>
      <c r="P692" s="6">
        <v>41344.969583333332</v>
      </c>
      <c r="Q692" s="11"/>
      <c r="R692" s="19" t="s">
        <v>4314</v>
      </c>
      <c r="S692" s="11"/>
      <c r="T692" s="11"/>
      <c r="U692" s="10" t="str">
        <f>HYPERLINK("https://pbs.twimg.com/profile_images/1025549150841200640/DWr7je-f.jpg","View")</f>
        <v>View</v>
      </c>
    </row>
    <row r="693" spans="1:21" ht="30.6">
      <c r="A693" s="6">
        <v>43442.009618055556</v>
      </c>
      <c r="B693" s="7" t="str">
        <f>HYPERLINK("https://twitter.com/TONIFERRE635","@TONIFERRE635")</f>
        <v>@TONIFERRE635</v>
      </c>
      <c r="C693" s="8" t="s">
        <v>4315</v>
      </c>
      <c r="D693" s="9" t="s">
        <v>4316</v>
      </c>
      <c r="E693" s="10" t="str">
        <f>HYPERLINK("https://twitter.com/TONIFERRE635/status/1071181019997499394","1071181019997499394")</f>
        <v>1071181019997499394</v>
      </c>
      <c r="F693" s="12" t="s">
        <v>4317</v>
      </c>
      <c r="G693" s="11"/>
      <c r="H693" s="11"/>
      <c r="I693" s="13">
        <v>0</v>
      </c>
      <c r="J693" s="13">
        <v>0</v>
      </c>
      <c r="K693" s="14" t="str">
        <f t="shared" ref="K693:K694" si="134">HYPERLINK("http://twitter.com","Twitter Web Client")</f>
        <v>Twitter Web Client</v>
      </c>
      <c r="L693" s="13">
        <v>149</v>
      </c>
      <c r="M693" s="13">
        <v>426</v>
      </c>
      <c r="N693" s="13">
        <v>0</v>
      </c>
      <c r="O693" s="15"/>
      <c r="P693" s="6">
        <v>41290.008020833331</v>
      </c>
      <c r="Q693" s="11"/>
      <c r="R693" s="19" t="s">
        <v>4320</v>
      </c>
      <c r="S693" s="11"/>
      <c r="T693" s="11"/>
      <c r="U693" s="10" t="str">
        <f>HYPERLINK("https://pbs.twimg.com/profile_images/1066622810351652864/3YLja2Ve.jpg","View")</f>
        <v>View</v>
      </c>
    </row>
    <row r="694" spans="1:21" ht="40.799999999999997">
      <c r="A694" s="6">
        <v>43442.009270833332</v>
      </c>
      <c r="B694" s="7" t="str">
        <f>HYPERLINK("https://twitter.com/SaenzVarona","@SaenzVarona")</f>
        <v>@SaenzVarona</v>
      </c>
      <c r="C694" s="8" t="s">
        <v>1190</v>
      </c>
      <c r="D694" s="9" t="s">
        <v>3010</v>
      </c>
      <c r="E694" s="10" t="str">
        <f>HYPERLINK("https://twitter.com/SaenzVarona/status/1071180895514710017","1071180895514710017")</f>
        <v>1071180895514710017</v>
      </c>
      <c r="F694" s="12" t="s">
        <v>3011</v>
      </c>
      <c r="G694" s="11"/>
      <c r="H694" s="11"/>
      <c r="I694" s="13">
        <v>1</v>
      </c>
      <c r="J694" s="13">
        <v>0</v>
      </c>
      <c r="K694" s="14" t="str">
        <f t="shared" si="134"/>
        <v>Twitter Web Client</v>
      </c>
      <c r="L694" s="13">
        <v>780</v>
      </c>
      <c r="M694" s="13">
        <v>317</v>
      </c>
      <c r="N694" s="13">
        <v>79</v>
      </c>
      <c r="O694" s="15"/>
      <c r="P694" s="6">
        <v>40697.711261574077</v>
      </c>
      <c r="Q694" s="18" t="s">
        <v>1195</v>
      </c>
      <c r="R694" s="19" t="s">
        <v>1196</v>
      </c>
      <c r="S694" s="12" t="s">
        <v>1197</v>
      </c>
      <c r="T694" s="11"/>
      <c r="U694" s="10" t="str">
        <f>HYPERLINK("https://pbs.twimg.com/profile_images/479663832877383680/zm9ZsCqq.jpeg","View")</f>
        <v>View</v>
      </c>
    </row>
    <row r="695" spans="1:21" ht="40.799999999999997">
      <c r="A695" s="6">
        <v>43442.00717592593</v>
      </c>
      <c r="B695" s="7" t="str">
        <f>HYPERLINK("https://twitter.com/McPOL_PN_GC","@McPOL_PN_GC")</f>
        <v>@McPOL_PN_GC</v>
      </c>
      <c r="C695" s="8" t="s">
        <v>4325</v>
      </c>
      <c r="D695" s="9" t="s">
        <v>4326</v>
      </c>
      <c r="E695" s="10" t="str">
        <f>HYPERLINK("https://twitter.com/McPOL_PN_GC/status/1071180135078998021","1071180135078998021")</f>
        <v>1071180135078998021</v>
      </c>
      <c r="F695" s="12" t="s">
        <v>4327</v>
      </c>
      <c r="G695" s="11"/>
      <c r="H695" s="11"/>
      <c r="I695" s="13">
        <v>4</v>
      </c>
      <c r="J695" s="13">
        <v>12</v>
      </c>
      <c r="K695" s="14" t="str">
        <f t="shared" ref="K695:K696" si="135">HYPERLINK("http://twitter.com/download/iphone","Twitter for iPhone")</f>
        <v>Twitter for iPhone</v>
      </c>
      <c r="L695" s="13">
        <v>3230</v>
      </c>
      <c r="M695" s="13">
        <v>239</v>
      </c>
      <c r="N695" s="13">
        <v>6</v>
      </c>
      <c r="O695" s="15"/>
      <c r="P695" s="6">
        <v>41045.98060185185</v>
      </c>
      <c r="Q695" s="18" t="s">
        <v>4330</v>
      </c>
      <c r="R695" s="19" t="s">
        <v>4331</v>
      </c>
      <c r="S695" s="12" t="s">
        <v>4332</v>
      </c>
      <c r="T695" s="11"/>
      <c r="U695" s="10" t="str">
        <f>HYPERLINK("https://pbs.twimg.com/profile_images/908458075664912384/R8v2f5z5.jpg","View")</f>
        <v>View</v>
      </c>
    </row>
    <row r="696" spans="1:21" ht="30.6">
      <c r="A696" s="6">
        <v>43442.006562499999</v>
      </c>
      <c r="B696" s="7" t="str">
        <f>HYPERLINK("https://twitter.com/alfredoer","@alfredoer")</f>
        <v>@alfredoer</v>
      </c>
      <c r="C696" s="8" t="s">
        <v>4334</v>
      </c>
      <c r="D696" s="9" t="s">
        <v>1152</v>
      </c>
      <c r="E696" s="10" t="str">
        <f>HYPERLINK("https://twitter.com/alfredoer/status/1071179911581315073","1071179911581315073")</f>
        <v>1071179911581315073</v>
      </c>
      <c r="F696" s="12" t="s">
        <v>4336</v>
      </c>
      <c r="G696" s="11"/>
      <c r="H696" s="11"/>
      <c r="I696" s="13">
        <v>0</v>
      </c>
      <c r="J696" s="13">
        <v>0</v>
      </c>
      <c r="K696" s="14" t="str">
        <f t="shared" si="135"/>
        <v>Twitter for iPhone</v>
      </c>
      <c r="L696" s="13">
        <v>5764</v>
      </c>
      <c r="M696" s="13">
        <v>6275</v>
      </c>
      <c r="N696" s="13">
        <v>56</v>
      </c>
      <c r="O696" s="15"/>
      <c r="P696" s="6">
        <v>39982.166331018518</v>
      </c>
      <c r="Q696" s="18" t="s">
        <v>4337</v>
      </c>
      <c r="R696" s="19" t="s">
        <v>4338</v>
      </c>
      <c r="S696" s="11"/>
      <c r="T696" s="11"/>
      <c r="U696" s="10" t="str">
        <f>HYPERLINK("https://pbs.twimg.com/profile_images/443860759139717120/PTfdtaNz.jpeg","View")</f>
        <v>View</v>
      </c>
    </row>
    <row r="697" spans="1:21" ht="51">
      <c r="A697" s="6">
        <v>43442.00545138889</v>
      </c>
      <c r="B697" s="7" t="str">
        <f>HYPERLINK("https://twitter.com/BOOMERANGG1","@BOOMERANGG1")</f>
        <v>@BOOMERANGG1</v>
      </c>
      <c r="C697" s="8" t="s">
        <v>3206</v>
      </c>
      <c r="D697" s="9" t="s">
        <v>4342</v>
      </c>
      <c r="E697" s="10" t="str">
        <f>HYPERLINK("https://twitter.com/BOOMERANGG1/status/1071179510119362560","1071179510119362560")</f>
        <v>1071179510119362560</v>
      </c>
      <c r="F697" s="12" t="s">
        <v>4343</v>
      </c>
      <c r="G697" s="11"/>
      <c r="H697" s="11"/>
      <c r="I697" s="13">
        <v>1</v>
      </c>
      <c r="J697" s="13">
        <v>1</v>
      </c>
      <c r="K697" s="14" t="str">
        <f t="shared" ref="K697:K698" si="136">HYPERLINK("http://twitter.com/download/android","Twitter for Android")</f>
        <v>Twitter for Android</v>
      </c>
      <c r="L697" s="13">
        <v>1724</v>
      </c>
      <c r="M697" s="13">
        <v>3578</v>
      </c>
      <c r="N697" s="13">
        <v>4</v>
      </c>
      <c r="O697" s="15"/>
      <c r="P697" s="6">
        <v>40966.004363425927</v>
      </c>
      <c r="Q697" s="18" t="s">
        <v>42</v>
      </c>
      <c r="R697" s="19" t="s">
        <v>3209</v>
      </c>
      <c r="S697" s="11"/>
      <c r="T697" s="11"/>
      <c r="U697" s="10" t="str">
        <f>HYPERLINK("https://pbs.twimg.com/profile_images/1856358263/BOOMERANGG1.JPG","View")</f>
        <v>View</v>
      </c>
    </row>
    <row r="698" spans="1:21" ht="30.6">
      <c r="A698" s="6">
        <v>43442.004733796297</v>
      </c>
      <c r="B698" s="7" t="str">
        <f>HYPERLINK("https://twitter.com/chuchoquehabla","@chuchoquehabla")</f>
        <v>@chuchoquehabla</v>
      </c>
      <c r="C698" s="8" t="s">
        <v>4347</v>
      </c>
      <c r="D698" s="9" t="s">
        <v>4348</v>
      </c>
      <c r="E698" s="10" t="str">
        <f>HYPERLINK("https://twitter.com/chuchoquehabla/status/1071179248977805314","1071179248977805314")</f>
        <v>1071179248977805314</v>
      </c>
      <c r="F698" s="11"/>
      <c r="G698" s="11"/>
      <c r="H698" s="11"/>
      <c r="I698" s="13">
        <v>2</v>
      </c>
      <c r="J698" s="13">
        <v>4</v>
      </c>
      <c r="K698" s="14" t="str">
        <f t="shared" si="136"/>
        <v>Twitter for Android</v>
      </c>
      <c r="L698" s="13">
        <v>4040</v>
      </c>
      <c r="M698" s="13">
        <v>4995</v>
      </c>
      <c r="N698" s="13">
        <v>88</v>
      </c>
      <c r="O698" s="15"/>
      <c r="P698" s="6">
        <v>42083.616203703699</v>
      </c>
      <c r="Q698" s="18" t="s">
        <v>4349</v>
      </c>
      <c r="R698" s="19" t="s">
        <v>4350</v>
      </c>
      <c r="S698" s="11"/>
      <c r="T698" s="11"/>
      <c r="U698" s="10" t="str">
        <f>HYPERLINK("https://pbs.twimg.com/profile_images/951197577445298176/Ez8MfyjC.jpg","View")</f>
        <v>View</v>
      </c>
    </row>
    <row r="699" spans="1:21" ht="51">
      <c r="A699" s="6">
        <v>43442.004062499997</v>
      </c>
      <c r="B699" s="7" t="str">
        <f>HYPERLINK("https://twitter.com/AnnaDemocrata","@AnnaDemocrata")</f>
        <v>@AnnaDemocrata</v>
      </c>
      <c r="C699" s="8" t="s">
        <v>606</v>
      </c>
      <c r="D699" s="9" t="s">
        <v>4352</v>
      </c>
      <c r="E699" s="10" t="str">
        <f>HYPERLINK("https://twitter.com/AnnaDemocrata/status/1071179005511036928","1071179005511036928")</f>
        <v>1071179005511036928</v>
      </c>
      <c r="F699" s="12" t="s">
        <v>4354</v>
      </c>
      <c r="G699" s="11"/>
      <c r="H699" s="11"/>
      <c r="I699" s="13">
        <v>0</v>
      </c>
      <c r="J699" s="13">
        <v>0</v>
      </c>
      <c r="K699" s="14" t="str">
        <f>HYPERLINK("http://twitter.com","Twitter Web Client")</f>
        <v>Twitter Web Client</v>
      </c>
      <c r="L699" s="13">
        <v>96</v>
      </c>
      <c r="M699" s="13">
        <v>147</v>
      </c>
      <c r="N699" s="13">
        <v>0</v>
      </c>
      <c r="O699" s="15"/>
      <c r="P699" s="6">
        <v>43013.465046296296</v>
      </c>
      <c r="Q699" s="18" t="s">
        <v>173</v>
      </c>
      <c r="R699" s="19" t="s">
        <v>610</v>
      </c>
      <c r="S699" s="11"/>
      <c r="T699" s="11"/>
      <c r="U699" s="10" t="str">
        <f>HYPERLINK("https://pbs.twimg.com/profile_images/965943715188629505/o5YUBLAw.jpg","View")</f>
        <v>View</v>
      </c>
    </row>
    <row r="700" spans="1:21" ht="20.399999999999999">
      <c r="A700" s="6">
        <v>43442.002372685187</v>
      </c>
      <c r="B700" s="7" t="str">
        <f>HYPERLINK("https://twitter.com/misterdonpablo","@misterdonpablo")</f>
        <v>@misterdonpablo</v>
      </c>
      <c r="C700" s="8" t="s">
        <v>636</v>
      </c>
      <c r="D700" s="9" t="s">
        <v>1304</v>
      </c>
      <c r="E700" s="10" t="str">
        <f>HYPERLINK("https://twitter.com/misterdonpablo/status/1071178394543550464","1071178394543550464")</f>
        <v>1071178394543550464</v>
      </c>
      <c r="F700" s="11"/>
      <c r="G700" s="12" t="s">
        <v>1306</v>
      </c>
      <c r="H700" s="11"/>
      <c r="I700" s="13">
        <v>8</v>
      </c>
      <c r="J700" s="13">
        <v>14</v>
      </c>
      <c r="K700" s="14" t="str">
        <f>HYPERLINK("http://twitter.com/download/iphone","Twitter for iPhone")</f>
        <v>Twitter for iPhone</v>
      </c>
      <c r="L700" s="13">
        <v>8450</v>
      </c>
      <c r="M700" s="13">
        <v>9079</v>
      </c>
      <c r="N700" s="13">
        <v>18</v>
      </c>
      <c r="O700" s="15"/>
      <c r="P700" s="6">
        <v>42242.962083333332</v>
      </c>
      <c r="Q700" s="11"/>
      <c r="R700" s="17"/>
      <c r="S700" s="11"/>
      <c r="T700" s="11"/>
      <c r="U700" s="10" t="str">
        <f>HYPERLINK("https://pbs.twimg.com/profile_images/636646791878995969/Fpg5rJ84.jpg","View")</f>
        <v>View</v>
      </c>
    </row>
    <row r="701" spans="1:21" ht="20.399999999999999">
      <c r="A701" s="6">
        <v>43442.001099537039</v>
      </c>
      <c r="B701" s="7" t="str">
        <f>HYPERLINK("https://twitter.com/CharlieSwatX","@CharlieSwatX")</f>
        <v>@CharlieSwatX</v>
      </c>
      <c r="C701" s="8" t="s">
        <v>4359</v>
      </c>
      <c r="D701" s="9" t="s">
        <v>4360</v>
      </c>
      <c r="E701" s="10" t="str">
        <f>HYPERLINK("https://twitter.com/CharlieSwatX/status/1071177931668496384","1071177931668496384")</f>
        <v>1071177931668496384</v>
      </c>
      <c r="F701" s="12" t="s">
        <v>4361</v>
      </c>
      <c r="G701" s="11"/>
      <c r="H701" s="11"/>
      <c r="I701" s="13">
        <v>0</v>
      </c>
      <c r="J701" s="13">
        <v>0</v>
      </c>
      <c r="K701" s="14" t="str">
        <f>HYPERLINK("https://www.google.com/","Google")</f>
        <v>Google</v>
      </c>
      <c r="L701" s="13">
        <v>34</v>
      </c>
      <c r="M701" s="13">
        <v>33</v>
      </c>
      <c r="N701" s="13">
        <v>2</v>
      </c>
      <c r="O701" s="15"/>
      <c r="P701" s="6">
        <v>42042.911909722221</v>
      </c>
      <c r="Q701" s="18" t="s">
        <v>1857</v>
      </c>
      <c r="R701" s="19" t="s">
        <v>4363</v>
      </c>
      <c r="S701" s="12" t="s">
        <v>4364</v>
      </c>
      <c r="T701" s="11"/>
      <c r="U701" s="10" t="str">
        <f>HYPERLINK("https://pbs.twimg.com/profile_images/564166584890310657/KhCAe224.jpeg","View")</f>
        <v>View</v>
      </c>
    </row>
    <row r="702" spans="1:21" ht="20.399999999999999">
      <c r="A702" s="6">
        <v>43441.999236111107</v>
      </c>
      <c r="B702" s="7" t="str">
        <f>HYPERLINK("https://twitter.com/RolodeTarento","@RolodeTarento")</f>
        <v>@RolodeTarento</v>
      </c>
      <c r="C702" s="8" t="s">
        <v>4366</v>
      </c>
      <c r="D702" s="9" t="s">
        <v>4367</v>
      </c>
      <c r="E702" s="10" t="str">
        <f>HYPERLINK("https://twitter.com/RolodeTarento/status/1071177258235297794","1071177258235297794")</f>
        <v>1071177258235297794</v>
      </c>
      <c r="F702" s="12" t="s">
        <v>4368</v>
      </c>
      <c r="G702" s="11"/>
      <c r="H702" s="11"/>
      <c r="I702" s="13">
        <v>0</v>
      </c>
      <c r="J702" s="13">
        <v>0</v>
      </c>
      <c r="K702" s="14" t="str">
        <f>HYPERLINK("http://twitter.com","Twitter Web Client")</f>
        <v>Twitter Web Client</v>
      </c>
      <c r="L702" s="13">
        <v>170</v>
      </c>
      <c r="M702" s="13">
        <v>449</v>
      </c>
      <c r="N702" s="13">
        <v>4</v>
      </c>
      <c r="O702" s="15"/>
      <c r="P702" s="6">
        <v>40651.038321759261</v>
      </c>
      <c r="Q702" s="11"/>
      <c r="R702" s="19" t="s">
        <v>4371</v>
      </c>
      <c r="S702" s="11"/>
      <c r="T702" s="11"/>
      <c r="U702" s="10" t="str">
        <f>HYPERLINK("https://pbs.twimg.com/profile_images/937464301299945473/cVT4mE9g.jpg","View")</f>
        <v>View</v>
      </c>
    </row>
    <row r="703" spans="1:21" ht="40.799999999999997">
      <c r="A703" s="6">
        <v>43441.998252314814</v>
      </c>
      <c r="B703" s="7" t="str">
        <f>HYPERLINK("https://twitter.com/MTudela","@MTudela")</f>
        <v>@MTudela</v>
      </c>
      <c r="C703" s="8" t="s">
        <v>4373</v>
      </c>
      <c r="D703" s="9" t="s">
        <v>4374</v>
      </c>
      <c r="E703" s="10" t="str">
        <f>HYPERLINK("https://twitter.com/MTudela/status/1071176902143021056","1071176902143021056")</f>
        <v>1071176902143021056</v>
      </c>
      <c r="F703" s="12" t="s">
        <v>1187</v>
      </c>
      <c r="G703" s="11"/>
      <c r="H703" s="11"/>
      <c r="I703" s="13">
        <v>3</v>
      </c>
      <c r="J703" s="13">
        <v>3</v>
      </c>
      <c r="K703" s="14" t="str">
        <f>HYPERLINK("http://twitter.com/download/android","Twitter for Android")</f>
        <v>Twitter for Android</v>
      </c>
      <c r="L703" s="13">
        <v>14833</v>
      </c>
      <c r="M703" s="13">
        <v>9314</v>
      </c>
      <c r="N703" s="13">
        <v>241</v>
      </c>
      <c r="O703" s="15"/>
      <c r="P703" s="6">
        <v>39881.446527777778</v>
      </c>
      <c r="Q703" s="18" t="s">
        <v>1597</v>
      </c>
      <c r="R703" s="19" t="s">
        <v>4378</v>
      </c>
      <c r="S703" s="11"/>
      <c r="T703" s="11"/>
      <c r="U703" s="10" t="str">
        <f>HYPERLINK("https://pbs.twimg.com/profile_images/688502812762836996/IfzGt753.jpg","View")</f>
        <v>View</v>
      </c>
    </row>
    <row r="704" spans="1:21" ht="40.799999999999997">
      <c r="A704" s="6">
        <v>43441.997314814813</v>
      </c>
      <c r="B704" s="7" t="str">
        <f>HYPERLINK("https://twitter.com/incorrecto1984","@incorrecto1984")</f>
        <v>@incorrecto1984</v>
      </c>
      <c r="C704" s="8" t="s">
        <v>4380</v>
      </c>
      <c r="D704" s="9" t="s">
        <v>4381</v>
      </c>
      <c r="E704" s="10" t="str">
        <f>HYPERLINK("https://twitter.com/incorrecto1984/status/1071176563402698754","1071176563402698754")</f>
        <v>1071176563402698754</v>
      </c>
      <c r="F704" s="18" t="s">
        <v>95</v>
      </c>
      <c r="G704" s="11"/>
      <c r="H704" s="11"/>
      <c r="I704" s="13">
        <v>0</v>
      </c>
      <c r="J704" s="13">
        <v>0</v>
      </c>
      <c r="K704" s="14" t="str">
        <f>HYPERLINK("http://twitter.com/download/iphone","Twitter for iPhone")</f>
        <v>Twitter for iPhone</v>
      </c>
      <c r="L704" s="13">
        <v>66</v>
      </c>
      <c r="M704" s="13">
        <v>473</v>
      </c>
      <c r="N704" s="13">
        <v>0</v>
      </c>
      <c r="O704" s="15"/>
      <c r="P704" s="6">
        <v>43042.896574074075</v>
      </c>
      <c r="Q704" s="11"/>
      <c r="R704" s="19" t="s">
        <v>4384</v>
      </c>
      <c r="S704" s="11"/>
      <c r="T704" s="11"/>
      <c r="U704" s="10" t="str">
        <f>HYPERLINK("https://pbs.twimg.com/profile_images/977689063510724608/dPV5s_SU.jpg","View")</f>
        <v>View</v>
      </c>
    </row>
    <row r="705" spans="1:21" ht="51">
      <c r="A705" s="6">
        <v>43441.997245370367</v>
      </c>
      <c r="B705" s="7" t="str">
        <f>HYPERLINK("https://twitter.com/fermedon","@fermedon")</f>
        <v>@fermedon</v>
      </c>
      <c r="C705" s="8" t="s">
        <v>4387</v>
      </c>
      <c r="D705" s="9" t="s">
        <v>4388</v>
      </c>
      <c r="E705" s="10" t="str">
        <f>HYPERLINK("https://twitter.com/fermedon/status/1071176534617153536","1071176534617153536")</f>
        <v>1071176534617153536</v>
      </c>
      <c r="F705" s="18" t="s">
        <v>4389</v>
      </c>
      <c r="G705" s="11"/>
      <c r="H705" s="11"/>
      <c r="I705" s="13">
        <v>2</v>
      </c>
      <c r="J705" s="13">
        <v>3</v>
      </c>
      <c r="K705" s="14" t="str">
        <f>HYPERLINK("http://twitter.com/#!/download/ipad","Twitter for iPad")</f>
        <v>Twitter for iPad</v>
      </c>
      <c r="L705" s="13">
        <v>1561</v>
      </c>
      <c r="M705" s="13">
        <v>1878</v>
      </c>
      <c r="N705" s="13">
        <v>32</v>
      </c>
      <c r="O705" s="15"/>
      <c r="P705" s="6">
        <v>40424.668090277773</v>
      </c>
      <c r="Q705" s="11"/>
      <c r="R705" s="19" t="s">
        <v>4391</v>
      </c>
      <c r="S705" s="11"/>
      <c r="T705" s="11"/>
      <c r="U705" s="10" t="str">
        <f>HYPERLINK("https://pbs.twimg.com/profile_images/3675490953/794dc7e1fb36261eba27ff1ef245a56d.jpeg","View")</f>
        <v>View</v>
      </c>
    </row>
    <row r="706" spans="1:21" ht="40.799999999999997">
      <c r="A706" s="6">
        <v>43441.996469907404</v>
      </c>
      <c r="B706" s="7" t="str">
        <f>HYPERLINK("https://twitter.com/Felipitoooo68","@Felipitoooo68")</f>
        <v>@Felipitoooo68</v>
      </c>
      <c r="C706" s="8" t="s">
        <v>4392</v>
      </c>
      <c r="D706" s="9" t="s">
        <v>4393</v>
      </c>
      <c r="E706" s="10" t="str">
        <f>HYPERLINK("https://twitter.com/Felipitoooo68/status/1071176257117806593","1071176257117806593")</f>
        <v>1071176257117806593</v>
      </c>
      <c r="F706" s="12" t="s">
        <v>4396</v>
      </c>
      <c r="G706" s="11"/>
      <c r="H706" s="11"/>
      <c r="I706" s="13">
        <v>0</v>
      </c>
      <c r="J706" s="13">
        <v>0</v>
      </c>
      <c r="K706" s="14" t="str">
        <f>HYPERLINK("http://twitter.com/download/android","Twitter for Android")</f>
        <v>Twitter for Android</v>
      </c>
      <c r="L706" s="13">
        <v>397</v>
      </c>
      <c r="M706" s="13">
        <v>518</v>
      </c>
      <c r="N706" s="13">
        <v>1</v>
      </c>
      <c r="O706" s="15"/>
      <c r="P706" s="6">
        <v>42908.599236111113</v>
      </c>
      <c r="Q706" s="11"/>
      <c r="R706" s="19" t="s">
        <v>4397</v>
      </c>
      <c r="S706" s="11"/>
      <c r="T706" s="11"/>
      <c r="U706" s="10" t="str">
        <f>HYPERLINK("https://pbs.twimg.com/profile_images/913475079866081281/TOFGjw5T.jpg","View")</f>
        <v>View</v>
      </c>
    </row>
    <row r="707" spans="1:21" ht="20.399999999999999">
      <c r="A707" s="6">
        <v>43441.996377314819</v>
      </c>
      <c r="B707" s="7" t="str">
        <f>HYPERLINK("https://twitter.com/Felisuco81","@Felisuco81")</f>
        <v>@Felisuco81</v>
      </c>
      <c r="C707" s="8" t="s">
        <v>4400</v>
      </c>
      <c r="D707" s="9" t="s">
        <v>1452</v>
      </c>
      <c r="E707" s="10" t="str">
        <f>HYPERLINK("https://twitter.com/Felisuco81/status/1071176222204411904","1071176222204411904")</f>
        <v>1071176222204411904</v>
      </c>
      <c r="F707" s="12" t="s">
        <v>296</v>
      </c>
      <c r="G707" s="11"/>
      <c r="H707" s="11"/>
      <c r="I707" s="13">
        <v>0</v>
      </c>
      <c r="J707" s="13">
        <v>0</v>
      </c>
      <c r="K707" s="14" t="str">
        <f>HYPERLINK("http://twitter.com","Twitter Web Client")</f>
        <v>Twitter Web Client</v>
      </c>
      <c r="L707" s="13">
        <v>64</v>
      </c>
      <c r="M707" s="13">
        <v>153</v>
      </c>
      <c r="N707" s="13">
        <v>0</v>
      </c>
      <c r="O707" s="15"/>
      <c r="P707" s="6">
        <v>43035.943402777775</v>
      </c>
      <c r="Q707" s="18" t="s">
        <v>42</v>
      </c>
      <c r="R707" s="19" t="s">
        <v>4406</v>
      </c>
      <c r="S707" s="11"/>
      <c r="T707" s="11"/>
      <c r="U707" s="10" t="str">
        <f>HYPERLINK("https://pbs.twimg.com/profile_images/924015975917408256/7Xk8GnkW.jpg","View")</f>
        <v>View</v>
      </c>
    </row>
    <row r="708" spans="1:21" ht="20.399999999999999">
      <c r="A708" s="6">
        <v>43441.993784722217</v>
      </c>
      <c r="B708" s="7" t="str">
        <f>HYPERLINK("https://twitter.com/Estupe_paciente","@Estupe_paciente")</f>
        <v>@Estupe_paciente</v>
      </c>
      <c r="C708" s="8" t="s">
        <v>4408</v>
      </c>
      <c r="D708" s="9" t="s">
        <v>4409</v>
      </c>
      <c r="E708" s="10" t="str">
        <f>HYPERLINK("https://twitter.com/Estupe_paciente/status/1071175283309506560","1071175283309506560")</f>
        <v>1071175283309506560</v>
      </c>
      <c r="F708" s="18" t="s">
        <v>4410</v>
      </c>
      <c r="G708" s="11"/>
      <c r="H708" s="11"/>
      <c r="I708" s="13">
        <v>0</v>
      </c>
      <c r="J708" s="13">
        <v>0</v>
      </c>
      <c r="K708" s="14" t="str">
        <f>HYPERLINK("http://twitter.com/#!/download/ipad","Twitter for iPad")</f>
        <v>Twitter for iPad</v>
      </c>
      <c r="L708" s="13">
        <v>90</v>
      </c>
      <c r="M708" s="13">
        <v>144</v>
      </c>
      <c r="N708" s="13">
        <v>0</v>
      </c>
      <c r="O708" s="15"/>
      <c r="P708" s="6">
        <v>43012.965717592597</v>
      </c>
      <c r="Q708" s="11"/>
      <c r="R708" s="19" t="s">
        <v>4411</v>
      </c>
      <c r="S708" s="11"/>
      <c r="T708" s="11"/>
      <c r="U708" s="10" t="str">
        <f>HYPERLINK("https://pbs.twimg.com/profile_images/925525140141694977/2H01_H9G.jpg","View")</f>
        <v>View</v>
      </c>
    </row>
    <row r="709" spans="1:21" ht="30.6">
      <c r="A709" s="6">
        <v>43441.993530092594</v>
      </c>
      <c r="B709" s="7" t="str">
        <f>HYPERLINK("https://twitter.com/REYPELAYO1","@REYPELAYO1")</f>
        <v>@REYPELAYO1</v>
      </c>
      <c r="C709" s="8" t="s">
        <v>4414</v>
      </c>
      <c r="D709" s="9" t="s">
        <v>4415</v>
      </c>
      <c r="E709" s="10" t="str">
        <f>HYPERLINK("https://twitter.com/REYPELAYO1/status/1071175189277433856","1071175189277433856")</f>
        <v>1071175189277433856</v>
      </c>
      <c r="F709" s="12" t="s">
        <v>1221</v>
      </c>
      <c r="G709" s="11"/>
      <c r="H709" s="11"/>
      <c r="I709" s="13">
        <v>0</v>
      </c>
      <c r="J709" s="13">
        <v>1</v>
      </c>
      <c r="K709" s="14" t="str">
        <f t="shared" ref="K709:K710" si="137">HYPERLINK("http://twitter.com","Twitter Web Client")</f>
        <v>Twitter Web Client</v>
      </c>
      <c r="L709" s="13">
        <v>4006</v>
      </c>
      <c r="M709" s="13">
        <v>3962</v>
      </c>
      <c r="N709" s="13">
        <v>58</v>
      </c>
      <c r="O709" s="15"/>
      <c r="P709" s="6">
        <v>40232.451921296299</v>
      </c>
      <c r="Q709" s="18" t="s">
        <v>484</v>
      </c>
      <c r="R709" s="17"/>
      <c r="S709" s="11"/>
      <c r="T709" s="11"/>
      <c r="U709" s="10" t="str">
        <f>HYPERLINK("https://pbs.twimg.com/profile_images/692092942870192130/Ey88KUIY.png","View")</f>
        <v>View</v>
      </c>
    </row>
    <row r="710" spans="1:21" ht="61.2">
      <c r="A710" s="6">
        <v>43441.993437500001</v>
      </c>
      <c r="B710" s="7" t="str">
        <f>HYPERLINK("https://twitter.com/JosCarlosJmnz","@JosCarlosJmnz")</f>
        <v>@JosCarlosJmnz</v>
      </c>
      <c r="C710" s="8" t="s">
        <v>4420</v>
      </c>
      <c r="D710" s="9" t="s">
        <v>4421</v>
      </c>
      <c r="E710" s="10" t="str">
        <f>HYPERLINK("https://twitter.com/JosCarlosJmnz/status/1071175156092071938","1071175156092071938")</f>
        <v>1071175156092071938</v>
      </c>
      <c r="F710" s="12" t="s">
        <v>4423</v>
      </c>
      <c r="G710" s="12" t="s">
        <v>4426</v>
      </c>
      <c r="H710" s="11"/>
      <c r="I710" s="13">
        <v>0</v>
      </c>
      <c r="J710" s="13">
        <v>0</v>
      </c>
      <c r="K710" s="14" t="str">
        <f t="shared" si="137"/>
        <v>Twitter Web Client</v>
      </c>
      <c r="L710" s="13">
        <v>148</v>
      </c>
      <c r="M710" s="13">
        <v>520</v>
      </c>
      <c r="N710" s="13">
        <v>1</v>
      </c>
      <c r="O710" s="15"/>
      <c r="P710" s="6">
        <v>40657.968923611115</v>
      </c>
      <c r="Q710" s="11"/>
      <c r="R710" s="19" t="s">
        <v>4427</v>
      </c>
      <c r="S710" s="11"/>
      <c r="T710" s="11"/>
      <c r="U710" s="10" t="str">
        <f>HYPERLINK("https://pbs.twimg.com/profile_images/1932089001/CV0312__262x300_.jpg","View")</f>
        <v>View</v>
      </c>
    </row>
    <row r="711" spans="1:21" ht="71.400000000000006">
      <c r="A711" s="6">
        <v>43441.993287037039</v>
      </c>
      <c r="B711" s="7" t="str">
        <f>HYPERLINK("https://twitter.com/Cafinitrina","@Cafinitrina")</f>
        <v>@Cafinitrina</v>
      </c>
      <c r="C711" s="8" t="s">
        <v>4430</v>
      </c>
      <c r="D711" s="9" t="s">
        <v>4431</v>
      </c>
      <c r="E711" s="10" t="str">
        <f>HYPERLINK("https://twitter.com/Cafinitrina/status/1071175100664307712","1071175100664307712")</f>
        <v>1071175100664307712</v>
      </c>
      <c r="F711" s="18" t="s">
        <v>4434</v>
      </c>
      <c r="G711" s="11"/>
      <c r="H711" s="11"/>
      <c r="I711" s="13">
        <v>0</v>
      </c>
      <c r="J711" s="13">
        <v>0</v>
      </c>
      <c r="K711" s="14" t="str">
        <f>HYPERLINK("http://twitter.com/download/android","Twitter for Android")</f>
        <v>Twitter for Android</v>
      </c>
      <c r="L711" s="13">
        <v>56</v>
      </c>
      <c r="M711" s="13">
        <v>448</v>
      </c>
      <c r="N711" s="13">
        <v>1</v>
      </c>
      <c r="O711" s="15"/>
      <c r="P711" s="6">
        <v>43134.90997685185</v>
      </c>
      <c r="Q711" s="11"/>
      <c r="R711" s="19" t="s">
        <v>4435</v>
      </c>
      <c r="S711" s="11"/>
      <c r="T711" s="11"/>
      <c r="U711" s="10" t="str">
        <f>HYPERLINK("https://pbs.twimg.com/profile_images/1032206407238660096/ixRLRaN-.jpg","View")</f>
        <v>View</v>
      </c>
    </row>
    <row r="712" spans="1:21" ht="71.400000000000006">
      <c r="A712" s="6">
        <v>43441.99013888889</v>
      </c>
      <c r="B712" s="7" t="str">
        <f>HYPERLINK("https://twitter.com/Manum62","@Manum62")</f>
        <v>@Manum62</v>
      </c>
      <c r="C712" s="8" t="s">
        <v>4437</v>
      </c>
      <c r="D712" s="9" t="s">
        <v>4439</v>
      </c>
      <c r="E712" s="10" t="str">
        <f>HYPERLINK("https://twitter.com/Manum62/status/1071173959679381504","1071173959679381504")</f>
        <v>1071173959679381504</v>
      </c>
      <c r="F712" s="18" t="s">
        <v>4440</v>
      </c>
      <c r="G712" s="11"/>
      <c r="H712" s="11"/>
      <c r="I712" s="13">
        <v>0</v>
      </c>
      <c r="J712" s="13">
        <v>0</v>
      </c>
      <c r="K712" s="14" t="str">
        <f>HYPERLINK("http://twitter.com","Twitter Web Client")</f>
        <v>Twitter Web Client</v>
      </c>
      <c r="L712" s="13">
        <v>73</v>
      </c>
      <c r="M712" s="13">
        <v>68</v>
      </c>
      <c r="N712" s="13">
        <v>3</v>
      </c>
      <c r="O712" s="15"/>
      <c r="P712" s="6">
        <v>40940.827060185184</v>
      </c>
      <c r="Q712" s="11"/>
      <c r="R712" s="17"/>
      <c r="S712" s="11"/>
      <c r="T712" s="11"/>
      <c r="U712" s="10" t="str">
        <f>HYPERLINK("https://pbs.twimg.com/profile_images/1803010341/MANU.jpg","View")</f>
        <v>View</v>
      </c>
    </row>
    <row r="713" spans="1:21" ht="81.599999999999994">
      <c r="A713" s="6">
        <v>43441.989421296297</v>
      </c>
      <c r="B713" s="7" t="str">
        <f>HYPERLINK("https://twitter.com/memeses2","@memeses2")</f>
        <v>@memeses2</v>
      </c>
      <c r="C713" s="8" t="s">
        <v>4443</v>
      </c>
      <c r="D713" s="9" t="s">
        <v>4444</v>
      </c>
      <c r="E713" s="10" t="str">
        <f>HYPERLINK("https://twitter.com/memeses2/status/1071173701356400641","1071173701356400641")</f>
        <v>1071173701356400641</v>
      </c>
      <c r="F713" s="12" t="s">
        <v>4446</v>
      </c>
      <c r="G713" s="12" t="s">
        <v>4447</v>
      </c>
      <c r="H713" s="11"/>
      <c r="I713" s="13">
        <v>0</v>
      </c>
      <c r="J713" s="13">
        <v>3</v>
      </c>
      <c r="K713" s="14" t="str">
        <f>HYPERLINK("http://twitter.com/download/android","Twitter for Android")</f>
        <v>Twitter for Android</v>
      </c>
      <c r="L713" s="13">
        <v>818</v>
      </c>
      <c r="M713" s="13">
        <v>749</v>
      </c>
      <c r="N713" s="13">
        <v>1</v>
      </c>
      <c r="O713" s="15"/>
      <c r="P713" s="6">
        <v>43413.516655092593</v>
      </c>
      <c r="Q713" s="18" t="s">
        <v>42</v>
      </c>
      <c r="R713" s="19" t="s">
        <v>4451</v>
      </c>
      <c r="S713" s="11"/>
      <c r="T713" s="11"/>
      <c r="U713" s="10" t="str">
        <f>HYPERLINK("https://pbs.twimg.com/profile_images/1060857415640539136/cZbEgTAv.jpg","View")</f>
        <v>View</v>
      </c>
    </row>
    <row r="714" spans="1:21" ht="40.799999999999997">
      <c r="A714" s="6">
        <v>43441.989282407405</v>
      </c>
      <c r="B714" s="7" t="str">
        <f>HYPERLINK("https://twitter.com/Israelem","@Israelem")</f>
        <v>@Israelem</v>
      </c>
      <c r="C714" s="8" t="s">
        <v>4454</v>
      </c>
      <c r="D714" s="9" t="s">
        <v>1452</v>
      </c>
      <c r="E714" s="10" t="str">
        <f>HYPERLINK("https://twitter.com/Israelem/status/1071173650655657984","1071173650655657984")</f>
        <v>1071173650655657984</v>
      </c>
      <c r="F714" s="12" t="s">
        <v>296</v>
      </c>
      <c r="G714" s="11"/>
      <c r="H714" s="11"/>
      <c r="I714" s="13">
        <v>0</v>
      </c>
      <c r="J714" s="13">
        <v>0</v>
      </c>
      <c r="K714" s="14" t="str">
        <f t="shared" ref="K714:K715" si="138">HYPERLINK("http://twitter.com","Twitter Web Client")</f>
        <v>Twitter Web Client</v>
      </c>
      <c r="L714" s="13">
        <v>2975</v>
      </c>
      <c r="M714" s="13">
        <v>957</v>
      </c>
      <c r="N714" s="13">
        <v>156</v>
      </c>
      <c r="O714" s="15"/>
      <c r="P714" s="6">
        <v>40112.483078703706</v>
      </c>
      <c r="Q714" s="18" t="s">
        <v>2020</v>
      </c>
      <c r="R714" s="19" t="s">
        <v>4457</v>
      </c>
      <c r="S714" s="12" t="s">
        <v>4458</v>
      </c>
      <c r="T714" s="11"/>
      <c r="U714" s="10" t="str">
        <f>HYPERLINK("https://pbs.twimg.com/profile_images/1059578996030169089/EOcGvxsT.jpg","View")</f>
        <v>View</v>
      </c>
    </row>
    <row r="715" spans="1:21" ht="40.799999999999997">
      <c r="A715" s="6">
        <v>43441.988923611112</v>
      </c>
      <c r="B715" s="7" t="str">
        <f>HYPERLINK("https://twitter.com/btxcgnbv","@btxcgnbv")</f>
        <v>@btxcgnbv</v>
      </c>
      <c r="C715" s="8" t="s">
        <v>4459</v>
      </c>
      <c r="D715" s="9" t="s">
        <v>4460</v>
      </c>
      <c r="E715" s="10" t="str">
        <f>HYPERLINK("https://twitter.com/btxcgnbv/status/1071173519281700870","1071173519281700870")</f>
        <v>1071173519281700870</v>
      </c>
      <c r="F715" s="12" t="s">
        <v>4228</v>
      </c>
      <c r="G715" s="11"/>
      <c r="H715" s="11"/>
      <c r="I715" s="13">
        <v>0</v>
      </c>
      <c r="J715" s="13">
        <v>0</v>
      </c>
      <c r="K715" s="14" t="str">
        <f t="shared" si="138"/>
        <v>Twitter Web Client</v>
      </c>
      <c r="L715" s="13">
        <v>2555</v>
      </c>
      <c r="M715" s="13">
        <v>5001</v>
      </c>
      <c r="N715" s="13">
        <v>128</v>
      </c>
      <c r="O715" s="15"/>
      <c r="P715" s="6">
        <v>40694.039606481485</v>
      </c>
      <c r="Q715" s="11"/>
      <c r="R715" s="19" t="s">
        <v>4464</v>
      </c>
      <c r="S715" s="11"/>
      <c r="T715" s="11"/>
      <c r="U715" s="10" t="str">
        <f>HYPERLINK("https://pbs.twimg.com/profile_images/971885586696097792/hAF3pjtj.jpg","View")</f>
        <v>View</v>
      </c>
    </row>
    <row r="716" spans="1:21" ht="30.6">
      <c r="A716" s="6">
        <v>43441.988888888889</v>
      </c>
      <c r="B716" s="7" t="str">
        <f>HYPERLINK("https://twitter.com/Taboodelaney","@Taboodelaney")</f>
        <v>@Taboodelaney</v>
      </c>
      <c r="C716" s="8" t="s">
        <v>4162</v>
      </c>
      <c r="D716" s="9" t="s">
        <v>4468</v>
      </c>
      <c r="E716" s="10" t="str">
        <f>HYPERLINK("https://twitter.com/Taboodelaney/status/1071173508032540673","1071173508032540673")</f>
        <v>1071173508032540673</v>
      </c>
      <c r="F716" s="12" t="s">
        <v>1526</v>
      </c>
      <c r="G716" s="11"/>
      <c r="H716" s="11"/>
      <c r="I716" s="13">
        <v>13</v>
      </c>
      <c r="J716" s="13">
        <v>9</v>
      </c>
      <c r="K716" s="14" t="str">
        <f>HYPERLINK("http://twitter.com/download/android","Twitter for Android")</f>
        <v>Twitter for Android</v>
      </c>
      <c r="L716" s="13">
        <v>1179</v>
      </c>
      <c r="M716" s="13">
        <v>1050</v>
      </c>
      <c r="N716" s="13">
        <v>2</v>
      </c>
      <c r="O716" s="15"/>
      <c r="P716" s="6">
        <v>43252.734421296293</v>
      </c>
      <c r="Q716" s="11"/>
      <c r="R716" s="19" t="s">
        <v>4165</v>
      </c>
      <c r="S716" s="11"/>
      <c r="T716" s="11"/>
      <c r="U716" s="10" t="str">
        <f>HYPERLINK("https://pbs.twimg.com/profile_images/1054075081960382466/6n7kVrx9.jpg","View")</f>
        <v>View</v>
      </c>
    </row>
    <row r="717" spans="1:21" ht="13.2">
      <c r="A717" s="6">
        <v>43441.98673611111</v>
      </c>
      <c r="B717" s="7" t="str">
        <f>HYPERLINK("https://twitter.com/solymar_maria","@solymar_maria")</f>
        <v>@solymar_maria</v>
      </c>
      <c r="C717" s="8" t="s">
        <v>4475</v>
      </c>
      <c r="D717" s="9" t="s">
        <v>4476</v>
      </c>
      <c r="E717" s="10" t="str">
        <f>HYPERLINK("https://twitter.com/solymar_maria/status/1071172730102394880","1071172730102394880")</f>
        <v>1071172730102394880</v>
      </c>
      <c r="F717" s="12" t="s">
        <v>4479</v>
      </c>
      <c r="G717" s="11"/>
      <c r="H717" s="11"/>
      <c r="I717" s="13">
        <v>0</v>
      </c>
      <c r="J717" s="13">
        <v>0</v>
      </c>
      <c r="K717" s="14" t="str">
        <f>HYPERLINK("http://www.facebook.com/twitter","Facebook")</f>
        <v>Facebook</v>
      </c>
      <c r="L717" s="13">
        <v>114</v>
      </c>
      <c r="M717" s="13">
        <v>70</v>
      </c>
      <c r="N717" s="13">
        <v>0</v>
      </c>
      <c r="O717" s="15"/>
      <c r="P717" s="6">
        <v>41871.51284722222</v>
      </c>
      <c r="Q717" s="18" t="s">
        <v>307</v>
      </c>
      <c r="R717" s="19" t="s">
        <v>4480</v>
      </c>
      <c r="S717" s="11"/>
      <c r="T717" s="11"/>
      <c r="U717" s="10" t="str">
        <f>HYPERLINK("https://pbs.twimg.com/profile_images/504242986847186944/LDdm6Xka.jpeg","View")</f>
        <v>View</v>
      </c>
    </row>
    <row r="718" spans="1:21" ht="40.799999999999997">
      <c r="A718" s="6">
        <v>43441.986516203702</v>
      </c>
      <c r="B718" s="7" t="str">
        <f>HYPERLINK("https://twitter.com/yonohesido45","@yonohesido45")</f>
        <v>@yonohesido45</v>
      </c>
      <c r="C718" s="8" t="s">
        <v>1310</v>
      </c>
      <c r="D718" s="9" t="s">
        <v>1311</v>
      </c>
      <c r="E718" s="10" t="str">
        <f>HYPERLINK("https://twitter.com/yonohesido45/status/1071172648103763975","1071172648103763975")</f>
        <v>1071172648103763975</v>
      </c>
      <c r="F718" s="11"/>
      <c r="G718" s="11"/>
      <c r="H718" s="11"/>
      <c r="I718" s="13">
        <v>0</v>
      </c>
      <c r="J718" s="13">
        <v>3</v>
      </c>
      <c r="K718" s="14" t="str">
        <f t="shared" ref="K718:K719" si="139">HYPERLINK("http://twitter.com/download/android","Twitter for Android")</f>
        <v>Twitter for Android</v>
      </c>
      <c r="L718" s="13">
        <v>67</v>
      </c>
      <c r="M718" s="13">
        <v>72</v>
      </c>
      <c r="N718" s="13">
        <v>0</v>
      </c>
      <c r="O718" s="15"/>
      <c r="P718" s="6">
        <v>41213.673148148147</v>
      </c>
      <c r="Q718" s="11"/>
      <c r="R718" s="19" t="s">
        <v>1314</v>
      </c>
      <c r="S718" s="11"/>
      <c r="T718" s="11"/>
      <c r="U718" s="10" t="str">
        <f>HYPERLINK("https://pbs.twimg.com/profile_images/1067865279231860737/Cjkgi0xB.jpg","View")</f>
        <v>View</v>
      </c>
    </row>
    <row r="719" spans="1:21" ht="40.799999999999997">
      <c r="A719" s="6">
        <v>43441.985659722224</v>
      </c>
      <c r="B719" s="7" t="str">
        <f>HYPERLINK("https://twitter.com/leandrosm31","@leandrosm31")</f>
        <v>@leandrosm31</v>
      </c>
      <c r="C719" s="8" t="s">
        <v>4486</v>
      </c>
      <c r="D719" s="9" t="s">
        <v>4487</v>
      </c>
      <c r="E719" s="10" t="str">
        <f>HYPERLINK("https://twitter.com/leandrosm31/status/1071172336370499586","1071172336370499586")</f>
        <v>1071172336370499586</v>
      </c>
      <c r="F719" s="12" t="s">
        <v>899</v>
      </c>
      <c r="G719" s="11"/>
      <c r="H719" s="11"/>
      <c r="I719" s="13">
        <v>0</v>
      </c>
      <c r="J719" s="13">
        <v>0</v>
      </c>
      <c r="K719" s="14" t="str">
        <f t="shared" si="139"/>
        <v>Twitter for Android</v>
      </c>
      <c r="L719" s="13">
        <v>1857</v>
      </c>
      <c r="M719" s="13">
        <v>2122</v>
      </c>
      <c r="N719" s="13">
        <v>6</v>
      </c>
      <c r="O719" s="15"/>
      <c r="P719" s="6">
        <v>43028.957638888889</v>
      </c>
      <c r="Q719" s="11"/>
      <c r="R719" s="17"/>
      <c r="S719" s="11"/>
      <c r="T719" s="11"/>
      <c r="U719" s="10" t="str">
        <f>HYPERLINK("https://pbs.twimg.com/profile_images/924518683430604800/vCjgdbu3.jpg","View")</f>
        <v>View</v>
      </c>
    </row>
    <row r="720" spans="1:21" ht="40.799999999999997">
      <c r="A720" s="6">
        <v>43441.98538194444</v>
      </c>
      <c r="B720" s="7" t="str">
        <f>HYPERLINK("https://twitter.com/mikeldi66","@mikeldi66")</f>
        <v>@mikeldi66</v>
      </c>
      <c r="C720" s="8" t="s">
        <v>4491</v>
      </c>
      <c r="D720" s="9" t="s">
        <v>4492</v>
      </c>
      <c r="E720" s="10" t="str">
        <f>HYPERLINK("https://twitter.com/mikeldi66/status/1071172236088881154","1071172236088881154")</f>
        <v>1071172236088881154</v>
      </c>
      <c r="F720" s="12" t="s">
        <v>4493</v>
      </c>
      <c r="G720" s="11"/>
      <c r="H720" s="11"/>
      <c r="I720" s="13">
        <v>1</v>
      </c>
      <c r="J720" s="13">
        <v>0</v>
      </c>
      <c r="K720" s="14" t="str">
        <f>HYPERLINK("http://www.facebook.com/twitter","Facebook")</f>
        <v>Facebook</v>
      </c>
      <c r="L720" s="13">
        <v>372</v>
      </c>
      <c r="M720" s="13">
        <v>584</v>
      </c>
      <c r="N720" s="13">
        <v>6</v>
      </c>
      <c r="O720" s="15"/>
      <c r="P720" s="6">
        <v>41385.071550925924</v>
      </c>
      <c r="Q720" s="11"/>
      <c r="R720" s="17"/>
      <c r="S720" s="12" t="s">
        <v>4497</v>
      </c>
      <c r="T720" s="11"/>
      <c r="U720" s="10" t="str">
        <f>HYPERLINK("https://pbs.twimg.com/profile_images/679734304562360320/VQU93ptE.jpg","View")</f>
        <v>View</v>
      </c>
    </row>
    <row r="721" spans="1:21" ht="30.6">
      <c r="A721" s="6">
        <v>43441.984525462962</v>
      </c>
      <c r="B721" s="7" t="str">
        <f>HYPERLINK("https://twitter.com/Rafajim03615083","@Rafajim03615083")</f>
        <v>@Rafajim03615083</v>
      </c>
      <c r="C721" s="8" t="s">
        <v>4500</v>
      </c>
      <c r="D721" s="9" t="s">
        <v>4501</v>
      </c>
      <c r="E721" s="10" t="str">
        <f>HYPERLINK("https://twitter.com/Rafajim03615083/status/1071171926725406721","1071171926725406721")</f>
        <v>1071171926725406721</v>
      </c>
      <c r="F721" s="12" t="s">
        <v>899</v>
      </c>
      <c r="G721" s="11"/>
      <c r="H721" s="11"/>
      <c r="I721" s="13">
        <v>0</v>
      </c>
      <c r="J721" s="13">
        <v>1</v>
      </c>
      <c r="K721" s="14" t="str">
        <f t="shared" ref="K721:K722" si="140">HYPERLINK("http://twitter.com","Twitter Web Client")</f>
        <v>Twitter Web Client</v>
      </c>
      <c r="L721" s="13">
        <v>334</v>
      </c>
      <c r="M721" s="13">
        <v>576</v>
      </c>
      <c r="N721" s="13">
        <v>0</v>
      </c>
      <c r="O721" s="15"/>
      <c r="P721" s="6">
        <v>43149.924768518518</v>
      </c>
      <c r="Q721" s="18" t="s">
        <v>3019</v>
      </c>
      <c r="R721" s="19" t="s">
        <v>4506</v>
      </c>
      <c r="S721" s="11"/>
      <c r="T721" s="11"/>
      <c r="U721" s="10" t="str">
        <f>HYPERLINK("https://pbs.twimg.com/profile_images/976293772270153728/ZBvf2sNb.jpg","View")</f>
        <v>View</v>
      </c>
    </row>
    <row r="722" spans="1:21" ht="91.8">
      <c r="A722" s="6">
        <v>43441.98364583333</v>
      </c>
      <c r="B722" s="7" t="str">
        <f>HYPERLINK("https://twitter.com/carlxsamo","@carlxsamo")</f>
        <v>@carlxsamo</v>
      </c>
      <c r="C722" s="8" t="s">
        <v>4508</v>
      </c>
      <c r="D722" s="9" t="s">
        <v>4509</v>
      </c>
      <c r="E722" s="10" t="str">
        <f>HYPERLINK("https://twitter.com/carlxsamo/status/1071171607996129280","1071171607996129280")</f>
        <v>1071171607996129280</v>
      </c>
      <c r="F722" s="12" t="s">
        <v>44</v>
      </c>
      <c r="G722" s="11"/>
      <c r="H722" s="11"/>
      <c r="I722" s="13">
        <v>0</v>
      </c>
      <c r="J722" s="13">
        <v>1</v>
      </c>
      <c r="K722" s="14" t="str">
        <f t="shared" si="140"/>
        <v>Twitter Web Client</v>
      </c>
      <c r="L722" s="13">
        <v>1361</v>
      </c>
      <c r="M722" s="13">
        <v>2076</v>
      </c>
      <c r="N722" s="13">
        <v>60</v>
      </c>
      <c r="O722" s="15"/>
      <c r="P722" s="6">
        <v>40944.532256944447</v>
      </c>
      <c r="Q722" s="18" t="s">
        <v>4512</v>
      </c>
      <c r="R722" s="19" t="s">
        <v>4514</v>
      </c>
      <c r="S722" s="12" t="s">
        <v>4515</v>
      </c>
      <c r="T722" s="11"/>
      <c r="U722" s="10" t="str">
        <f>HYPERLINK("https://pbs.twimg.com/profile_images/1047107402326319104/tkZwV8D_.jpg","View")</f>
        <v>View</v>
      </c>
    </row>
    <row r="723" spans="1:21" ht="30.6">
      <c r="A723" s="6">
        <v>43441.983333333337</v>
      </c>
      <c r="B723" s="7" t="str">
        <f>HYPERLINK("https://twitter.com/debate_es","@debate_es")</f>
        <v>@debate_es</v>
      </c>
      <c r="C723" s="22" t="s">
        <v>1865</v>
      </c>
      <c r="D723" s="9" t="s">
        <v>4517</v>
      </c>
      <c r="E723" s="10" t="str">
        <f>HYPERLINK("https://twitter.com/debate_es/status/1071171494712086528","1071171494712086528")</f>
        <v>1071171494712086528</v>
      </c>
      <c r="F723" s="12" t="s">
        <v>1955</v>
      </c>
      <c r="G723" s="11"/>
      <c r="H723" s="11"/>
      <c r="I723" s="13">
        <v>2</v>
      </c>
      <c r="J723" s="13">
        <v>1</v>
      </c>
      <c r="K723" s="14" t="str">
        <f>HYPERLINK("https://about.twitter.com/products/tweetdeck","TweetDeck")</f>
        <v>TweetDeck</v>
      </c>
      <c r="L723" s="13">
        <v>1990</v>
      </c>
      <c r="M723" s="13">
        <v>0</v>
      </c>
      <c r="N723" s="13">
        <v>26</v>
      </c>
      <c r="O723" s="15"/>
      <c r="P723" s="6">
        <v>43258.540625000001</v>
      </c>
      <c r="Q723" s="11"/>
      <c r="R723" s="19" t="s">
        <v>1871</v>
      </c>
      <c r="S723" s="12" t="s">
        <v>1872</v>
      </c>
      <c r="T723" s="11"/>
      <c r="U723" s="10" t="str">
        <f>HYPERLINK("https://pbs.twimg.com/profile_images/1022497434029699073/kza_Om7G.jpg","View")</f>
        <v>View</v>
      </c>
    </row>
    <row r="724" spans="1:21" ht="40.799999999999997">
      <c r="A724" s="6">
        <v>43441.982916666668</v>
      </c>
      <c r="B724" s="7" t="str">
        <f>HYPERLINK("https://twitter.com/JoaaquinSR","@JoaaquinSR")</f>
        <v>@JoaaquinSR</v>
      </c>
      <c r="C724" s="8" t="s">
        <v>4525</v>
      </c>
      <c r="D724" s="9" t="s">
        <v>4526</v>
      </c>
      <c r="E724" s="10" t="str">
        <f>HYPERLINK("https://twitter.com/JoaaquinSR/status/1071171342488227842","1071171342488227842")</f>
        <v>1071171342488227842</v>
      </c>
      <c r="F724" s="11"/>
      <c r="G724" s="11"/>
      <c r="H724" s="11"/>
      <c r="I724" s="13">
        <v>2</v>
      </c>
      <c r="J724" s="13">
        <v>3</v>
      </c>
      <c r="K724" s="14" t="str">
        <f t="shared" ref="K724:K727" si="141">HYPERLINK("http://twitter.com/download/android","Twitter for Android")</f>
        <v>Twitter for Android</v>
      </c>
      <c r="L724" s="13">
        <v>7811</v>
      </c>
      <c r="M724" s="13">
        <v>8622</v>
      </c>
      <c r="N724" s="13">
        <v>53</v>
      </c>
      <c r="O724" s="15"/>
      <c r="P724" s="6">
        <v>41688.016435185185</v>
      </c>
      <c r="Q724" s="11"/>
      <c r="R724" s="19" t="s">
        <v>4530</v>
      </c>
      <c r="S724" s="11"/>
      <c r="T724" s="11"/>
      <c r="U724" s="10" t="str">
        <f>HYPERLINK("https://pbs.twimg.com/profile_images/909109911560310784/HsjrUJ5l.jpg","View")</f>
        <v>View</v>
      </c>
    </row>
    <row r="725" spans="1:21" ht="40.799999999999997">
      <c r="A725" s="6">
        <v>43441.982800925922</v>
      </c>
      <c r="B725" s="7" t="str">
        <f>HYPERLINK("https://twitter.com/Juan_CarlosESP","@Juan_CarlosESP")</f>
        <v>@Juan_CarlosESP</v>
      </c>
      <c r="C725" s="8" t="s">
        <v>4532</v>
      </c>
      <c r="D725" s="9" t="s">
        <v>4533</v>
      </c>
      <c r="E725" s="10" t="str">
        <f>HYPERLINK("https://twitter.com/Juan_CarlosESP/status/1071171302122315788","1071171302122315788")</f>
        <v>1071171302122315788</v>
      </c>
      <c r="F725" s="12" t="s">
        <v>804</v>
      </c>
      <c r="G725" s="12" t="s">
        <v>805</v>
      </c>
      <c r="H725" s="11"/>
      <c r="I725" s="13">
        <v>0</v>
      </c>
      <c r="J725" s="13">
        <v>0</v>
      </c>
      <c r="K725" s="14" t="str">
        <f t="shared" si="141"/>
        <v>Twitter for Android</v>
      </c>
      <c r="L725" s="13">
        <v>2168</v>
      </c>
      <c r="M725" s="13">
        <v>1877</v>
      </c>
      <c r="N725" s="13">
        <v>41</v>
      </c>
      <c r="O725" s="15"/>
      <c r="P725" s="6">
        <v>40652.774340277778</v>
      </c>
      <c r="Q725" s="18" t="s">
        <v>4536</v>
      </c>
      <c r="R725" s="19" t="s">
        <v>4537</v>
      </c>
      <c r="S725" s="12" t="s">
        <v>4538</v>
      </c>
      <c r="T725" s="11"/>
      <c r="U725" s="10" t="str">
        <f>HYPERLINK("https://pbs.twimg.com/profile_images/1061660233406275584/HhlVaqBN.jpg","View")</f>
        <v>View</v>
      </c>
    </row>
    <row r="726" spans="1:21" ht="30.6">
      <c r="A726" s="6">
        <v>43441.981712962966</v>
      </c>
      <c r="B726" s="7" t="str">
        <f>HYPERLINK("https://twitter.com/gamerowsky","@gamerowsky")</f>
        <v>@gamerowsky</v>
      </c>
      <c r="C726" s="8" t="s">
        <v>4540</v>
      </c>
      <c r="D726" s="9" t="s">
        <v>834</v>
      </c>
      <c r="E726" s="10" t="str">
        <f>HYPERLINK("https://twitter.com/gamerowsky/status/1071170909346689024","1071170909346689024")</f>
        <v>1071170909346689024</v>
      </c>
      <c r="F726" s="12" t="s">
        <v>899</v>
      </c>
      <c r="G726" s="11"/>
      <c r="H726" s="11"/>
      <c r="I726" s="13">
        <v>0</v>
      </c>
      <c r="J726" s="13">
        <v>0</v>
      </c>
      <c r="K726" s="14" t="str">
        <f t="shared" si="141"/>
        <v>Twitter for Android</v>
      </c>
      <c r="L726" s="13">
        <v>920</v>
      </c>
      <c r="M726" s="13">
        <v>906</v>
      </c>
      <c r="N726" s="13">
        <v>11</v>
      </c>
      <c r="O726" s="15"/>
      <c r="P726" s="6">
        <v>40983.589629629627</v>
      </c>
      <c r="Q726" s="18" t="s">
        <v>42</v>
      </c>
      <c r="R726" s="19" t="s">
        <v>4544</v>
      </c>
      <c r="S726" s="11"/>
      <c r="T726" s="11"/>
      <c r="U726" s="10" t="str">
        <f>HYPERLINK("https://pbs.twimg.com/profile_images/550625713414762496/YkGQ0bQY.jpeg","View")</f>
        <v>View</v>
      </c>
    </row>
    <row r="727" spans="1:21" ht="51">
      <c r="A727" s="6">
        <v>43441.981215277774</v>
      </c>
      <c r="B727" s="7" t="str">
        <f>HYPERLINK("https://twitter.com/PedroLPuebla","@PedroLPuebla")</f>
        <v>@PedroLPuebla</v>
      </c>
      <c r="C727" s="8" t="s">
        <v>1315</v>
      </c>
      <c r="D727" s="9" t="s">
        <v>1316</v>
      </c>
      <c r="E727" s="10" t="str">
        <f>HYPERLINK("https://twitter.com/PedroLPuebla/status/1071170726118465536","1071170726118465536")</f>
        <v>1071170726118465536</v>
      </c>
      <c r="F727" s="12" t="s">
        <v>1317</v>
      </c>
      <c r="G727" s="12" t="s">
        <v>1032</v>
      </c>
      <c r="H727" s="11"/>
      <c r="I727" s="13">
        <v>0</v>
      </c>
      <c r="J727" s="13">
        <v>0</v>
      </c>
      <c r="K727" s="14" t="str">
        <f t="shared" si="141"/>
        <v>Twitter for Android</v>
      </c>
      <c r="L727" s="13">
        <v>122</v>
      </c>
      <c r="M727" s="13">
        <v>321</v>
      </c>
      <c r="N727" s="13">
        <v>3</v>
      </c>
      <c r="O727" s="15"/>
      <c r="P727" s="6">
        <v>40809.543171296296</v>
      </c>
      <c r="Q727" s="18" t="s">
        <v>1319</v>
      </c>
      <c r="R727" s="19" t="s">
        <v>1320</v>
      </c>
      <c r="S727" s="11"/>
      <c r="T727" s="11"/>
      <c r="U727" s="10" t="str">
        <f>HYPERLINK("https://pbs.twimg.com/profile_images/781172122509053953/1ZkzyBkN.jpg","View")</f>
        <v>View</v>
      </c>
    </row>
    <row r="728" spans="1:21" ht="13.2">
      <c r="A728" s="6">
        <v>43441.981122685189</v>
      </c>
      <c r="B728" s="7" t="str">
        <f>HYPERLINK("https://twitter.com/NacionalAlerta","@NacionalAlerta")</f>
        <v>@NacionalAlerta</v>
      </c>
      <c r="C728" s="8" t="s">
        <v>4550</v>
      </c>
      <c r="D728" s="9" t="s">
        <v>4220</v>
      </c>
      <c r="E728" s="10" t="str">
        <f>HYPERLINK("https://twitter.com/NacionalAlerta/status/1071170696074723331","1071170696074723331")</f>
        <v>1071170696074723331</v>
      </c>
      <c r="F728" s="12" t="s">
        <v>4553</v>
      </c>
      <c r="G728" s="12" t="s">
        <v>4554</v>
      </c>
      <c r="H728" s="11"/>
      <c r="I728" s="13">
        <v>0</v>
      </c>
      <c r="J728" s="13">
        <v>0</v>
      </c>
      <c r="K728" s="14" t="str">
        <f>HYPERLINK("http://publicize.wp.com/","WordPress.com")</f>
        <v>WordPress.com</v>
      </c>
      <c r="L728" s="13">
        <v>75</v>
      </c>
      <c r="M728" s="13">
        <v>27</v>
      </c>
      <c r="N728" s="13">
        <v>2</v>
      </c>
      <c r="O728" s="15"/>
      <c r="P728" s="6">
        <v>43361.719618055555</v>
      </c>
      <c r="Q728" s="18" t="s">
        <v>42</v>
      </c>
      <c r="R728" s="17"/>
      <c r="S728" s="12" t="s">
        <v>4555</v>
      </c>
      <c r="T728" s="11"/>
      <c r="U728" s="10" t="str">
        <f>HYPERLINK("https://pbs.twimg.com/profile_images/1042072480435847169/mB0J8NN0.jpg","View")</f>
        <v>View</v>
      </c>
    </row>
    <row r="729" spans="1:21" ht="30.6">
      <c r="A729" s="6">
        <v>43441.980439814812</v>
      </c>
      <c r="B729" s="7" t="str">
        <f>HYPERLINK("https://twitter.com/luis23mzn","@luis23mzn")</f>
        <v>@luis23mzn</v>
      </c>
      <c r="C729" s="8" t="s">
        <v>4557</v>
      </c>
      <c r="D729" s="9" t="s">
        <v>4558</v>
      </c>
      <c r="E729" s="10" t="str">
        <f>HYPERLINK("https://twitter.com/luis23mzn/status/1071170448203898880","1071170448203898880")</f>
        <v>1071170448203898880</v>
      </c>
      <c r="F729" s="11"/>
      <c r="G729" s="12" t="s">
        <v>4559</v>
      </c>
      <c r="H729" s="11"/>
      <c r="I729" s="13">
        <v>1</v>
      </c>
      <c r="J729" s="13">
        <v>2</v>
      </c>
      <c r="K729" s="14" t="str">
        <f>HYPERLINK("http://twitter.com/download/android","Twitter for Android")</f>
        <v>Twitter for Android</v>
      </c>
      <c r="L729" s="13">
        <v>52388</v>
      </c>
      <c r="M729" s="13">
        <v>73</v>
      </c>
      <c r="N729" s="13">
        <v>213</v>
      </c>
      <c r="O729" s="15"/>
      <c r="P729" s="6">
        <v>40889.160625000004</v>
      </c>
      <c r="Q729" s="18" t="s">
        <v>4560</v>
      </c>
      <c r="R729" s="19" t="s">
        <v>4561</v>
      </c>
      <c r="S729" s="11"/>
      <c r="T729" s="11"/>
      <c r="U729" s="10" t="str">
        <f>HYPERLINK("https://pbs.twimg.com/profile_images/1070391939772616705/7dZJZZLs.jpg","View")</f>
        <v>View</v>
      </c>
    </row>
    <row r="730" spans="1:21" ht="51">
      <c r="A730" s="6">
        <v>43441.978090277778</v>
      </c>
      <c r="B730" s="7" t="str">
        <f>HYPERLINK("https://twitter.com/PilotoRojo73","@PilotoRojo73")</f>
        <v>@PilotoRojo73</v>
      </c>
      <c r="C730" s="8" t="s">
        <v>901</v>
      </c>
      <c r="D730" s="9" t="s">
        <v>1323</v>
      </c>
      <c r="E730" s="10" t="str">
        <f>HYPERLINK("https://twitter.com/PilotoRojo73/status/1071169593836736512","1071169593836736512")</f>
        <v>1071169593836736512</v>
      </c>
      <c r="F730" s="11"/>
      <c r="G730" s="12" t="s">
        <v>1324</v>
      </c>
      <c r="H730" s="11"/>
      <c r="I730" s="13">
        <v>58</v>
      </c>
      <c r="J730" s="13">
        <v>66</v>
      </c>
      <c r="K730" s="14" t="str">
        <f>HYPERLINK("https://mobile.twitter.com","Twitter Lite")</f>
        <v>Twitter Lite</v>
      </c>
      <c r="L730" s="13">
        <v>10333</v>
      </c>
      <c r="M730" s="13">
        <v>7951</v>
      </c>
      <c r="N730" s="13">
        <v>61</v>
      </c>
      <c r="O730" s="15"/>
      <c r="P730" s="6">
        <v>42494.038310185184</v>
      </c>
      <c r="Q730" s="18" t="s">
        <v>906</v>
      </c>
      <c r="R730" s="19" t="s">
        <v>907</v>
      </c>
      <c r="S730" s="12" t="s">
        <v>908</v>
      </c>
      <c r="T730" s="11"/>
      <c r="U730" s="10" t="str">
        <f>HYPERLINK("https://pbs.twimg.com/profile_images/1051228030612492288/ocTykL51.jpg","View")</f>
        <v>View</v>
      </c>
    </row>
    <row r="731" spans="1:21" ht="20.399999999999999">
      <c r="A731" s="6">
        <v>43441.978043981479</v>
      </c>
      <c r="B731" s="7" t="str">
        <f>HYPERLINK("https://twitter.com/22_dur","@22_dur")</f>
        <v>@22_dur</v>
      </c>
      <c r="C731" s="8" t="s">
        <v>4567</v>
      </c>
      <c r="D731" s="9" t="s">
        <v>4568</v>
      </c>
      <c r="E731" s="10" t="str">
        <f>HYPERLINK("https://twitter.com/22_dur/status/1071169579316072450","1071169579316072450")</f>
        <v>1071169579316072450</v>
      </c>
      <c r="F731" s="12" t="s">
        <v>4569</v>
      </c>
      <c r="G731" s="11"/>
      <c r="H731" s="11"/>
      <c r="I731" s="13">
        <v>0</v>
      </c>
      <c r="J731" s="13">
        <v>0</v>
      </c>
      <c r="K731" s="14" t="str">
        <f t="shared" ref="K731:K732" si="142">HYPERLINK("http://twitter.com","Twitter Web Client")</f>
        <v>Twitter Web Client</v>
      </c>
      <c r="L731" s="13">
        <v>1007</v>
      </c>
      <c r="M731" s="13">
        <v>1007</v>
      </c>
      <c r="N731" s="13">
        <v>57</v>
      </c>
      <c r="O731" s="15"/>
      <c r="P731" s="6">
        <v>41822.849143518521</v>
      </c>
      <c r="Q731" s="11"/>
      <c r="R731" s="17"/>
      <c r="S731" s="11"/>
      <c r="T731" s="11"/>
      <c r="U731" s="10" t="str">
        <f>HYPERLINK("https://pbs.twimg.com/profile_images/990368897432997888/PpRcd_1T.jpg","View")</f>
        <v>View</v>
      </c>
    </row>
    <row r="732" spans="1:21" ht="81.599999999999994">
      <c r="A732" s="6">
        <v>43441.977326388893</v>
      </c>
      <c r="B732" s="7" t="str">
        <f>HYPERLINK("https://twitter.com/quilombosfera","@quilombosfera")</f>
        <v>@quilombosfera</v>
      </c>
      <c r="C732" s="8" t="s">
        <v>1327</v>
      </c>
      <c r="D732" s="9" t="s">
        <v>1328</v>
      </c>
      <c r="E732" s="10" t="str">
        <f>HYPERLINK("https://twitter.com/quilombosfera/status/1071169319327940608","1071169319327940608")</f>
        <v>1071169319327940608</v>
      </c>
      <c r="F732" s="18" t="s">
        <v>1329</v>
      </c>
      <c r="G732" s="11"/>
      <c r="H732" s="11"/>
      <c r="I732" s="13">
        <v>0</v>
      </c>
      <c r="J732" s="13">
        <v>1</v>
      </c>
      <c r="K732" s="14" t="str">
        <f t="shared" si="142"/>
        <v>Twitter Web Client</v>
      </c>
      <c r="L732" s="13">
        <v>3110</v>
      </c>
      <c r="M732" s="13">
        <v>2615</v>
      </c>
      <c r="N732" s="13">
        <v>155</v>
      </c>
      <c r="O732" s="15"/>
      <c r="P732" s="6">
        <v>40261.749236111107</v>
      </c>
      <c r="Q732" s="11"/>
      <c r="R732" s="19" t="s">
        <v>1332</v>
      </c>
      <c r="S732" s="12" t="s">
        <v>1333</v>
      </c>
      <c r="T732" s="11"/>
      <c r="U732" s="10" t="str">
        <f>HYPERLINK("https://pbs.twimg.com/profile_images/1062958510449811456/BLdXFyRp.jpg","View")</f>
        <v>View</v>
      </c>
    </row>
    <row r="733" spans="1:21" ht="51">
      <c r="A733" s="6">
        <v>43441.974733796298</v>
      </c>
      <c r="B733" s="7" t="str">
        <f>HYPERLINK("https://twitter.com/GelGelder","@GelGelder")</f>
        <v>@GelGelder</v>
      </c>
      <c r="C733" s="8" t="s">
        <v>1335</v>
      </c>
      <c r="D733" s="9" t="s">
        <v>1337</v>
      </c>
      <c r="E733" s="10" t="str">
        <f>HYPERLINK("https://twitter.com/GelGelder/status/1071168379338326021","1071168379338326021")</f>
        <v>1071168379338326021</v>
      </c>
      <c r="F733" s="11"/>
      <c r="G733" s="12" t="s">
        <v>1339</v>
      </c>
      <c r="H733" s="11"/>
      <c r="I733" s="13">
        <v>1</v>
      </c>
      <c r="J733" s="13">
        <v>0</v>
      </c>
      <c r="K733" s="14" t="str">
        <f>HYPERLINK("http://twitter.com/download/android","Twitter for Android")</f>
        <v>Twitter for Android</v>
      </c>
      <c r="L733" s="13">
        <v>2672</v>
      </c>
      <c r="M733" s="13">
        <v>1322</v>
      </c>
      <c r="N733" s="13">
        <v>6</v>
      </c>
      <c r="O733" s="15"/>
      <c r="P733" s="6">
        <v>40747.641180555554</v>
      </c>
      <c r="Q733" s="18" t="s">
        <v>1340</v>
      </c>
      <c r="R733" s="19" t="s">
        <v>1341</v>
      </c>
      <c r="S733" s="11"/>
      <c r="T733" s="11"/>
      <c r="U733" s="10" t="str">
        <f>HYPERLINK("https://pbs.twimg.com/profile_images/687746564006264832/0GqvYzpg.jpg","View")</f>
        <v>View</v>
      </c>
    </row>
    <row r="734" spans="1:21" ht="40.799999999999997">
      <c r="A734" s="6">
        <v>43441.973738425921</v>
      </c>
      <c r="B734" s="7" t="str">
        <f>HYPERLINK("https://twitter.com/xavi_cs","@xavi_cs")</f>
        <v>@xavi_cs</v>
      </c>
      <c r="C734" s="8" t="s">
        <v>1342</v>
      </c>
      <c r="D734" s="9" t="s">
        <v>1343</v>
      </c>
      <c r="E734" s="10" t="str">
        <f>HYPERLINK("https://twitter.com/xavi_cs/status/1071168016942096385","1071168016942096385")</f>
        <v>1071168016942096385</v>
      </c>
      <c r="F734" s="12" t="s">
        <v>1344</v>
      </c>
      <c r="G734" s="11"/>
      <c r="H734" s="11"/>
      <c r="I734" s="13">
        <v>1</v>
      </c>
      <c r="J734" s="13">
        <v>0</v>
      </c>
      <c r="K734" s="14" t="str">
        <f>HYPERLINK("http://twitter.com/download/iphone","Twitter for iPhone")</f>
        <v>Twitter for iPhone</v>
      </c>
      <c r="L734" s="13">
        <v>1246</v>
      </c>
      <c r="M734" s="13">
        <v>1235</v>
      </c>
      <c r="N734" s="13">
        <v>16</v>
      </c>
      <c r="O734" s="15"/>
      <c r="P734" s="6">
        <v>40643.768148148149</v>
      </c>
      <c r="Q734" s="18" t="s">
        <v>1345</v>
      </c>
      <c r="R734" s="19" t="s">
        <v>1346</v>
      </c>
      <c r="S734" s="11"/>
      <c r="T734" s="11"/>
      <c r="U734" s="10" t="str">
        <f>HYPERLINK("https://pbs.twimg.com/profile_images/861250438179545089/Q6uXA9cC.jpg","View")</f>
        <v>View</v>
      </c>
    </row>
    <row r="735" spans="1:21" ht="81.599999999999994">
      <c r="A735" s="6">
        <v>43441.973576388889</v>
      </c>
      <c r="B735" s="7" t="str">
        <f>HYPERLINK("https://twitter.com/Durian61109504","@Durian61109504")</f>
        <v>@Durian61109504</v>
      </c>
      <c r="C735" s="8" t="s">
        <v>4580</v>
      </c>
      <c r="D735" s="9" t="s">
        <v>4581</v>
      </c>
      <c r="E735" s="10" t="str">
        <f>HYPERLINK("https://twitter.com/Durian61109504/status/1071167957563293697","1071167957563293697")</f>
        <v>1071167957563293697</v>
      </c>
      <c r="F735" s="18" t="s">
        <v>63</v>
      </c>
      <c r="G735" s="11"/>
      <c r="H735" s="11"/>
      <c r="I735" s="13">
        <v>0</v>
      </c>
      <c r="J735" s="13">
        <v>0</v>
      </c>
      <c r="K735" s="14" t="str">
        <f t="shared" ref="K735:K737" si="143">HYPERLINK("http://twitter.com/download/android","Twitter for Android")</f>
        <v>Twitter for Android</v>
      </c>
      <c r="L735" s="13">
        <v>166</v>
      </c>
      <c r="M735" s="13">
        <v>206</v>
      </c>
      <c r="N735" s="13">
        <v>1</v>
      </c>
      <c r="O735" s="15"/>
      <c r="P735" s="6">
        <v>43158.757303240738</v>
      </c>
      <c r="Q735" s="11"/>
      <c r="R735" s="19" t="s">
        <v>4584</v>
      </c>
      <c r="S735" s="11"/>
      <c r="T735" s="11"/>
      <c r="U735" s="10" t="str">
        <f>HYPERLINK("https://pbs.twimg.com/profile_images/968555387313037313/MCCv6P6F.jpg","View")</f>
        <v>View</v>
      </c>
    </row>
    <row r="736" spans="1:21" ht="71.400000000000006">
      <c r="A736" s="6">
        <v>43441.972037037034</v>
      </c>
      <c r="B736" s="7" t="str">
        <f>HYPERLINK("https://twitter.com/kakigarcia77","@kakigarcia77")</f>
        <v>@kakigarcia77</v>
      </c>
      <c r="C736" s="8" t="s">
        <v>1347</v>
      </c>
      <c r="D736" s="9" t="s">
        <v>1348</v>
      </c>
      <c r="E736" s="10" t="str">
        <f>HYPERLINK("https://twitter.com/kakigarcia77/status/1071167402677809152","1071167402677809152")</f>
        <v>1071167402677809152</v>
      </c>
      <c r="F736" s="12" t="s">
        <v>1349</v>
      </c>
      <c r="G736" s="11"/>
      <c r="H736" s="11"/>
      <c r="I736" s="13">
        <v>0</v>
      </c>
      <c r="J736" s="13">
        <v>1</v>
      </c>
      <c r="K736" s="14" t="str">
        <f t="shared" si="143"/>
        <v>Twitter for Android</v>
      </c>
      <c r="L736" s="13">
        <v>597</v>
      </c>
      <c r="M736" s="13">
        <v>630</v>
      </c>
      <c r="N736" s="13">
        <v>7</v>
      </c>
      <c r="O736" s="15"/>
      <c r="P736" s="6">
        <v>42170.975763888884</v>
      </c>
      <c r="Q736" s="18" t="s">
        <v>1319</v>
      </c>
      <c r="R736" s="19" t="s">
        <v>1350</v>
      </c>
      <c r="S736" s="11"/>
      <c r="T736" s="11"/>
      <c r="U736" s="10" t="str">
        <f>HYPERLINK("https://pbs.twimg.com/profile_images/1008983174658101248/HSX4piGJ.jpg","View")</f>
        <v>View</v>
      </c>
    </row>
    <row r="737" spans="1:21" ht="40.799999999999997">
      <c r="A737" s="6">
        <v>43441.971770833334</v>
      </c>
      <c r="B737" s="7" t="str">
        <f>HYPERLINK("https://twitter.com/inmalsantos","@inmalsantos")</f>
        <v>@inmalsantos</v>
      </c>
      <c r="C737" s="8" t="s">
        <v>183</v>
      </c>
      <c r="D737" s="9" t="s">
        <v>1352</v>
      </c>
      <c r="E737" s="10" t="str">
        <f>HYPERLINK("https://twitter.com/inmalsantos/status/1071167304065576961","1071167304065576961")</f>
        <v>1071167304065576961</v>
      </c>
      <c r="F737" s="11"/>
      <c r="G737" s="12" t="s">
        <v>1353</v>
      </c>
      <c r="H737" s="11"/>
      <c r="I737" s="13">
        <v>2</v>
      </c>
      <c r="J737" s="13">
        <v>2</v>
      </c>
      <c r="K737" s="14" t="str">
        <f t="shared" si="143"/>
        <v>Twitter for Android</v>
      </c>
      <c r="L737" s="13">
        <v>223</v>
      </c>
      <c r="M737" s="13">
        <v>917</v>
      </c>
      <c r="N737" s="13">
        <v>0</v>
      </c>
      <c r="O737" s="15"/>
      <c r="P737" s="6">
        <v>41345.533634259264</v>
      </c>
      <c r="Q737" s="18" t="s">
        <v>42</v>
      </c>
      <c r="R737" s="19" t="s">
        <v>190</v>
      </c>
      <c r="S737" s="11"/>
      <c r="T737" s="11"/>
      <c r="U737" s="16" t="s">
        <v>191</v>
      </c>
    </row>
    <row r="738" spans="1:21" ht="30.6">
      <c r="A738" s="6">
        <v>43441.971192129626</v>
      </c>
      <c r="B738" s="7" t="str">
        <f>HYPERLINK("https://twitter.com/Jose67449544","@Jose67449544")</f>
        <v>@Jose67449544</v>
      </c>
      <c r="C738" s="8" t="s">
        <v>1354</v>
      </c>
      <c r="D738" s="9" t="s">
        <v>1355</v>
      </c>
      <c r="E738" s="10" t="str">
        <f>HYPERLINK("https://twitter.com/Jose67449544/status/1071167096371978245","1071167096371978245")</f>
        <v>1071167096371978245</v>
      </c>
      <c r="F738" s="11"/>
      <c r="G738" s="12" t="s">
        <v>1359</v>
      </c>
      <c r="H738" s="11"/>
      <c r="I738" s="13">
        <v>2</v>
      </c>
      <c r="J738" s="13">
        <v>8</v>
      </c>
      <c r="K738" s="14" t="str">
        <f>HYPERLINK("https://mobile.twitter.com","Twitter Lite")</f>
        <v>Twitter Lite</v>
      </c>
      <c r="L738" s="13">
        <v>81</v>
      </c>
      <c r="M738" s="13">
        <v>40</v>
      </c>
      <c r="N738" s="13">
        <v>3</v>
      </c>
      <c r="O738" s="15"/>
      <c r="P738" s="6">
        <v>43138.864247685182</v>
      </c>
      <c r="Q738" s="11"/>
      <c r="R738" s="19" t="s">
        <v>1361</v>
      </c>
      <c r="S738" s="11"/>
      <c r="T738" s="11"/>
      <c r="U738" s="10" t="str">
        <f>HYPERLINK("https://pbs.twimg.com/profile_images/1068127458107510784/dtwNaUUl.jpg","View")</f>
        <v>View</v>
      </c>
    </row>
    <row r="739" spans="1:21" ht="61.2">
      <c r="A739" s="6">
        <v>43441.970312500001</v>
      </c>
      <c r="B739" s="7" t="str">
        <f>HYPERLINK("https://twitter.com/Santi_ABASCAL","@Santi_ABASCAL")</f>
        <v>@Santi_ABASCAL</v>
      </c>
      <c r="C739" s="8" t="s">
        <v>4596</v>
      </c>
      <c r="D739" s="9" t="s">
        <v>4597</v>
      </c>
      <c r="E739" s="10" t="str">
        <f>HYPERLINK("https://twitter.com/Santi_ABASCAL/status/1071166776011055105","1071166776011055105")</f>
        <v>1071166776011055105</v>
      </c>
      <c r="F739" s="18" t="s">
        <v>95</v>
      </c>
      <c r="G739" s="11"/>
      <c r="H739" s="11"/>
      <c r="I739" s="13">
        <v>2864</v>
      </c>
      <c r="J739" s="13">
        <v>5241</v>
      </c>
      <c r="K739" s="14" t="str">
        <f>HYPERLINK("http://twitter.com/download/android","Twitter for Android")</f>
        <v>Twitter for Android</v>
      </c>
      <c r="L739" s="13">
        <v>136296</v>
      </c>
      <c r="M739" s="13">
        <v>3909</v>
      </c>
      <c r="N739" s="13">
        <v>965</v>
      </c>
      <c r="O739" s="16" t="s">
        <v>25</v>
      </c>
      <c r="P739" s="6">
        <v>40606.716446759259</v>
      </c>
      <c r="Q739" s="18" t="s">
        <v>1682</v>
      </c>
      <c r="R739" s="19" t="s">
        <v>4600</v>
      </c>
      <c r="S739" s="12" t="s">
        <v>4601</v>
      </c>
      <c r="T739" s="11"/>
      <c r="U739" s="10" t="str">
        <f>HYPERLINK("https://pbs.twimg.com/profile_images/1010488787686879232/2CnqYKlD.jpg","View")</f>
        <v>View</v>
      </c>
    </row>
    <row r="740" spans="1:21" ht="20.399999999999999">
      <c r="A740" s="6">
        <v>43441.970081018517</v>
      </c>
      <c r="B740" s="7" t="str">
        <f>HYPERLINK("https://twitter.com/sumariumcom","@sumariumcom")</f>
        <v>@sumariumcom</v>
      </c>
      <c r="C740" s="8" t="s">
        <v>4153</v>
      </c>
      <c r="D740" s="9" t="s">
        <v>4154</v>
      </c>
      <c r="E740" s="10" t="str">
        <f>HYPERLINK("https://twitter.com/sumariumcom/status/1071166694670909442","1071166694670909442")</f>
        <v>1071166694670909442</v>
      </c>
      <c r="F740" s="12" t="s">
        <v>4156</v>
      </c>
      <c r="G740" s="12" t="s">
        <v>4157</v>
      </c>
      <c r="H740" s="11"/>
      <c r="I740" s="13">
        <v>0</v>
      </c>
      <c r="J740" s="13">
        <v>0</v>
      </c>
      <c r="K740" s="14" t="str">
        <f>HYPERLINK("https://about.twitter.com/products/tweetdeck","TweetDeck")</f>
        <v>TweetDeck</v>
      </c>
      <c r="L740" s="13">
        <v>164402</v>
      </c>
      <c r="M740" s="13">
        <v>996</v>
      </c>
      <c r="N740" s="13">
        <v>1122</v>
      </c>
      <c r="O740" s="15"/>
      <c r="P740" s="6">
        <v>40977.809594907405</v>
      </c>
      <c r="Q740" s="18" t="s">
        <v>4159</v>
      </c>
      <c r="R740" s="17"/>
      <c r="S740" s="12" t="s">
        <v>4160</v>
      </c>
      <c r="T740" s="11"/>
      <c r="U740" s="10" t="str">
        <f>HYPERLINK("https://pbs.twimg.com/profile_images/1061987847874469888/mok5IDTt.jpg","View")</f>
        <v>View</v>
      </c>
    </row>
    <row r="741" spans="1:21" ht="40.799999999999997">
      <c r="A741" s="6">
        <v>43441.969942129625</v>
      </c>
      <c r="B741" s="7" t="str">
        <f>HYPERLINK("https://twitter.com/Pericles_Atenas","@Pericles_Atenas")</f>
        <v>@Pericles_Atenas</v>
      </c>
      <c r="C741" s="8" t="s">
        <v>4604</v>
      </c>
      <c r="D741" s="9" t="s">
        <v>4605</v>
      </c>
      <c r="E741" s="10" t="str">
        <f>HYPERLINK("https://twitter.com/Pericles_Atenas/status/1071166641487167488","1071166641487167488")</f>
        <v>1071166641487167488</v>
      </c>
      <c r="F741" s="11"/>
      <c r="G741" s="11"/>
      <c r="H741" s="11"/>
      <c r="I741" s="13">
        <v>0</v>
      </c>
      <c r="J741" s="13">
        <v>0</v>
      </c>
      <c r="K741" s="14" t="str">
        <f t="shared" ref="K741:K743" si="144">HYPERLINK("http://twitter.com/download/android","Twitter for Android")</f>
        <v>Twitter for Android</v>
      </c>
      <c r="L741" s="13">
        <v>187</v>
      </c>
      <c r="M741" s="13">
        <v>384</v>
      </c>
      <c r="N741" s="13">
        <v>3</v>
      </c>
      <c r="O741" s="15"/>
      <c r="P741" s="6">
        <v>41507.063923611109</v>
      </c>
      <c r="Q741" s="11"/>
      <c r="R741" s="19" t="s">
        <v>4607</v>
      </c>
      <c r="S741" s="11"/>
      <c r="T741" s="11"/>
      <c r="U741" s="10" t="str">
        <f>HYPERLINK("https://pbs.twimg.com/profile_images/378800000433845499/b89d5606ffa5fce7a6aef7e085101fd2.jpeg","View")</f>
        <v>View</v>
      </c>
    </row>
    <row r="742" spans="1:21" ht="61.2">
      <c r="A742" s="6">
        <v>43441.969467592593</v>
      </c>
      <c r="B742" s="7" t="str">
        <f>HYPERLINK("https://twitter.com/cuandomebusques","@cuandomebusques")</f>
        <v>@cuandomebusques</v>
      </c>
      <c r="C742" s="8" t="s">
        <v>4609</v>
      </c>
      <c r="D742" s="9" t="s">
        <v>4610</v>
      </c>
      <c r="E742" s="10" t="str">
        <f>HYPERLINK("https://twitter.com/cuandomebusques/status/1071166469378068481","1071166469378068481")</f>
        <v>1071166469378068481</v>
      </c>
      <c r="F742" s="18" t="s">
        <v>552</v>
      </c>
      <c r="G742" s="11"/>
      <c r="H742" s="11"/>
      <c r="I742" s="13">
        <v>0</v>
      </c>
      <c r="J742" s="13">
        <v>0</v>
      </c>
      <c r="K742" s="14" t="str">
        <f t="shared" si="144"/>
        <v>Twitter for Android</v>
      </c>
      <c r="L742" s="13">
        <v>170</v>
      </c>
      <c r="M742" s="13">
        <v>221</v>
      </c>
      <c r="N742" s="13">
        <v>3</v>
      </c>
      <c r="O742" s="15"/>
      <c r="P742" s="6">
        <v>42813.859583333338</v>
      </c>
      <c r="Q742" s="11"/>
      <c r="R742" s="19" t="s">
        <v>4611</v>
      </c>
      <c r="S742" s="11"/>
      <c r="T742" s="11"/>
      <c r="U742" s="10" t="str">
        <f>HYPERLINK("https://pbs.twimg.com/profile_images/1029734830269976576/sYN4ekil.jpg","View")</f>
        <v>View</v>
      </c>
    </row>
    <row r="743" spans="1:21" ht="51">
      <c r="A743" s="6">
        <v>43441.969328703708</v>
      </c>
      <c r="B743" s="7" t="str">
        <f>HYPERLINK("https://twitter.com/Becky130777","@Becky130777")</f>
        <v>@Becky130777</v>
      </c>
      <c r="C743" s="8" t="s">
        <v>624</v>
      </c>
      <c r="D743" s="9" t="s">
        <v>1363</v>
      </c>
      <c r="E743" s="10" t="str">
        <f>HYPERLINK("https://twitter.com/Becky130777/status/1071166418702483456","1071166418702483456")</f>
        <v>1071166418702483456</v>
      </c>
      <c r="F743" s="12" t="s">
        <v>1366</v>
      </c>
      <c r="G743" s="12" t="s">
        <v>1367</v>
      </c>
      <c r="H743" s="11"/>
      <c r="I743" s="13">
        <v>1</v>
      </c>
      <c r="J743" s="13">
        <v>0</v>
      </c>
      <c r="K743" s="14" t="str">
        <f t="shared" si="144"/>
        <v>Twitter for Android</v>
      </c>
      <c r="L743" s="13">
        <v>134</v>
      </c>
      <c r="M743" s="13">
        <v>110</v>
      </c>
      <c r="N743" s="13">
        <v>0</v>
      </c>
      <c r="O743" s="15"/>
      <c r="P743" s="6">
        <v>43394.472662037035</v>
      </c>
      <c r="Q743" s="11"/>
      <c r="R743" s="19" t="s">
        <v>627</v>
      </c>
      <c r="S743" s="11"/>
      <c r="T743" s="11"/>
      <c r="U743" s="10" t="str">
        <f>HYPERLINK("https://pbs.twimg.com/profile_images/1070801950797692930/wQUx-Zko.jpg","View")</f>
        <v>View</v>
      </c>
    </row>
    <row r="744" spans="1:21" ht="51">
      <c r="A744" s="6">
        <v>43441.968888888892</v>
      </c>
      <c r="B744" s="7" t="str">
        <f>HYPERLINK("https://twitter.com/jaimeberenguer","@jaimeberenguer")</f>
        <v>@jaimeberenguer</v>
      </c>
      <c r="C744" s="8" t="s">
        <v>1368</v>
      </c>
      <c r="D744" s="9" t="s">
        <v>1369</v>
      </c>
      <c r="E744" s="10" t="str">
        <f>HYPERLINK("https://twitter.com/jaimeberenguer/status/1071166259734159362","1071166259734159362")</f>
        <v>1071166259734159362</v>
      </c>
      <c r="F744" s="11"/>
      <c r="G744" s="11"/>
      <c r="H744" s="11"/>
      <c r="I744" s="13">
        <v>22</v>
      </c>
      <c r="J744" s="13">
        <v>48</v>
      </c>
      <c r="K744" s="14" t="str">
        <f>HYPERLINK("http://twitter.com/download/iphone","Twitter for iPhone")</f>
        <v>Twitter for iPhone</v>
      </c>
      <c r="L744" s="13">
        <v>14564</v>
      </c>
      <c r="M744" s="13">
        <v>2724</v>
      </c>
      <c r="N744" s="13">
        <v>211</v>
      </c>
      <c r="O744" s="15"/>
      <c r="P744" s="6">
        <v>40040.424120370371</v>
      </c>
      <c r="Q744" s="11"/>
      <c r="R744" s="19" t="s">
        <v>1370</v>
      </c>
      <c r="S744" s="11"/>
      <c r="T744" s="11"/>
      <c r="U744" s="10" t="str">
        <f>HYPERLINK("https://pbs.twimg.com/profile_images/1048222448372604936/LV72DRWb.jpg","View")</f>
        <v>View</v>
      </c>
    </row>
    <row r="745" spans="1:21" ht="20.399999999999999">
      <c r="A745" s="6">
        <v>43441.968773148154</v>
      </c>
      <c r="B745" s="7" t="str">
        <f>HYPERLINK("https://twitter.com/nobel_51","@nobel_51")</f>
        <v>@nobel_51</v>
      </c>
      <c r="C745" s="8" t="s">
        <v>4624</v>
      </c>
      <c r="D745" s="9" t="s">
        <v>2842</v>
      </c>
      <c r="E745" s="10" t="str">
        <f>HYPERLINK("https://twitter.com/nobel_51/status/1071166218042773510","1071166218042773510")</f>
        <v>1071166218042773510</v>
      </c>
      <c r="F745" s="12" t="s">
        <v>403</v>
      </c>
      <c r="G745" s="11"/>
      <c r="H745" s="11"/>
      <c r="I745" s="13">
        <v>0</v>
      </c>
      <c r="J745" s="13">
        <v>0</v>
      </c>
      <c r="K745" s="14" t="str">
        <f>HYPERLINK("http://twitter.com","Twitter Web Client")</f>
        <v>Twitter Web Client</v>
      </c>
      <c r="L745" s="13">
        <v>43</v>
      </c>
      <c r="M745" s="13">
        <v>86</v>
      </c>
      <c r="N745" s="13">
        <v>0</v>
      </c>
      <c r="O745" s="15"/>
      <c r="P745" s="6">
        <v>42349.067025462966</v>
      </c>
      <c r="Q745" s="11"/>
      <c r="R745" s="19" t="s">
        <v>4627</v>
      </c>
      <c r="S745" s="11"/>
      <c r="T745" s="11"/>
      <c r="U745" s="10" t="str">
        <f>HYPERLINK("https://pbs.twimg.com/profile_images/695945038677860353/sSRN9wb4.jpg","View")</f>
        <v>View</v>
      </c>
    </row>
    <row r="746" spans="1:21" ht="51">
      <c r="A746" s="6">
        <v>43441.96875</v>
      </c>
      <c r="B746" s="7" t="str">
        <f>HYPERLINK("https://twitter.com/TomasFe14020511","@TomasFe14020511")</f>
        <v>@TomasFe14020511</v>
      </c>
      <c r="C746" s="8" t="s">
        <v>1372</v>
      </c>
      <c r="D746" s="9" t="s">
        <v>1373</v>
      </c>
      <c r="E746" s="10" t="str">
        <f>HYPERLINK("https://twitter.com/TomasFe14020511/status/1071166210652471297","1071166210652471297")</f>
        <v>1071166210652471297</v>
      </c>
      <c r="F746" s="12" t="s">
        <v>1375</v>
      </c>
      <c r="G746" s="12" t="s">
        <v>1376</v>
      </c>
      <c r="H746" s="11"/>
      <c r="I746" s="13">
        <v>0</v>
      </c>
      <c r="J746" s="13">
        <v>0</v>
      </c>
      <c r="K746" s="14" t="str">
        <f t="shared" ref="K746:K748" si="145">HYPERLINK("http://twitter.com/download/android","Twitter for Android")</f>
        <v>Twitter for Android</v>
      </c>
      <c r="L746" s="13">
        <v>1351</v>
      </c>
      <c r="M746" s="13">
        <v>1344</v>
      </c>
      <c r="N746" s="13">
        <v>5</v>
      </c>
      <c r="O746" s="15"/>
      <c r="P746" s="6">
        <v>43049.337407407409</v>
      </c>
      <c r="Q746" s="18" t="s">
        <v>1379</v>
      </c>
      <c r="R746" s="19" t="s">
        <v>1380</v>
      </c>
      <c r="S746" s="11"/>
      <c r="T746" s="11"/>
      <c r="U746" s="10" t="str">
        <f>HYPERLINK("https://pbs.twimg.com/profile_images/991457940627447813/C8Mm4Yiy.jpg","View")</f>
        <v>View</v>
      </c>
    </row>
    <row r="747" spans="1:21" ht="51">
      <c r="A747" s="6">
        <v>43441.968055555553</v>
      </c>
      <c r="B747" s="7" t="str">
        <f>HYPERLINK("https://twitter.com/FreireALFONSO","@FreireALFONSO")</f>
        <v>@FreireALFONSO</v>
      </c>
      <c r="C747" s="8" t="s">
        <v>1382</v>
      </c>
      <c r="D747" s="9" t="s">
        <v>1383</v>
      </c>
      <c r="E747" s="10" t="str">
        <f>HYPERLINK("https://twitter.com/FreireALFONSO/status/1071165957173854208","1071165957173854208")</f>
        <v>1071165957173854208</v>
      </c>
      <c r="F747" s="12" t="s">
        <v>1384</v>
      </c>
      <c r="G747" s="11"/>
      <c r="H747" s="11"/>
      <c r="I747" s="13">
        <v>0</v>
      </c>
      <c r="J747" s="13">
        <v>0</v>
      </c>
      <c r="K747" s="14" t="str">
        <f t="shared" si="145"/>
        <v>Twitter for Android</v>
      </c>
      <c r="L747" s="13">
        <v>101</v>
      </c>
      <c r="M747" s="13">
        <v>84</v>
      </c>
      <c r="N747" s="13">
        <v>4</v>
      </c>
      <c r="O747" s="15"/>
      <c r="P747" s="6">
        <v>41195.865740740745</v>
      </c>
      <c r="Q747" s="18" t="s">
        <v>1387</v>
      </c>
      <c r="R747" s="19" t="s">
        <v>1389</v>
      </c>
      <c r="S747" s="11"/>
      <c r="T747" s="11"/>
      <c r="U747" s="10" t="str">
        <f>HYPERLINK("https://pbs.twimg.com/profile_images/1040311561552887808/pTkAtlbw.jpg","View")</f>
        <v>View</v>
      </c>
    </row>
    <row r="748" spans="1:21" ht="20.399999999999999">
      <c r="A748" s="6">
        <v>43441.966134259259</v>
      </c>
      <c r="B748" s="7" t="str">
        <f>HYPERLINK("https://twitter.com/inmalsantos","@inmalsantos")</f>
        <v>@inmalsantos</v>
      </c>
      <c r="C748" s="8" t="s">
        <v>183</v>
      </c>
      <c r="D748" s="9" t="s">
        <v>1392</v>
      </c>
      <c r="E748" s="10" t="str">
        <f>HYPERLINK("https://twitter.com/inmalsantos/status/1071165264157380618","1071165264157380618")</f>
        <v>1071165264157380618</v>
      </c>
      <c r="F748" s="11"/>
      <c r="G748" s="12" t="s">
        <v>1394</v>
      </c>
      <c r="H748" s="11"/>
      <c r="I748" s="13">
        <v>0</v>
      </c>
      <c r="J748" s="13">
        <v>1</v>
      </c>
      <c r="K748" s="14" t="str">
        <f t="shared" si="145"/>
        <v>Twitter for Android</v>
      </c>
      <c r="L748" s="13">
        <v>223</v>
      </c>
      <c r="M748" s="13">
        <v>917</v>
      </c>
      <c r="N748" s="13">
        <v>0</v>
      </c>
      <c r="O748" s="15"/>
      <c r="P748" s="6">
        <v>41345.533634259264</v>
      </c>
      <c r="Q748" s="18" t="s">
        <v>42</v>
      </c>
      <c r="R748" s="19" t="s">
        <v>190</v>
      </c>
      <c r="S748" s="11"/>
      <c r="T748" s="11"/>
      <c r="U748" s="16" t="s">
        <v>191</v>
      </c>
    </row>
    <row r="749" spans="1:21" ht="40.799999999999997">
      <c r="A749" s="6">
        <v>43441.965532407412</v>
      </c>
      <c r="B749" s="7" t="str">
        <f>HYPERLINK("https://twitter.com/BlSastre","@BlSastre")</f>
        <v>@BlSastre</v>
      </c>
      <c r="C749" s="8" t="s">
        <v>1396</v>
      </c>
      <c r="D749" s="9" t="s">
        <v>1397</v>
      </c>
      <c r="E749" s="10" t="str">
        <f>HYPERLINK("https://twitter.com/BlSastre/status/1071165045151854592","1071165045151854592")</f>
        <v>1071165045151854592</v>
      </c>
      <c r="F749" s="11"/>
      <c r="G749" s="11"/>
      <c r="H749" s="11"/>
      <c r="I749" s="13">
        <v>0</v>
      </c>
      <c r="J749" s="13">
        <v>6</v>
      </c>
      <c r="K749" s="14" t="str">
        <f>HYPERLINK("http://twitter.com/download/iphone","Twitter for iPhone")</f>
        <v>Twitter for iPhone</v>
      </c>
      <c r="L749" s="13">
        <v>529</v>
      </c>
      <c r="M749" s="13">
        <v>776</v>
      </c>
      <c r="N749" s="13">
        <v>1</v>
      </c>
      <c r="O749" s="15"/>
      <c r="P749" s="6">
        <v>41468.872118055559</v>
      </c>
      <c r="Q749" s="11"/>
      <c r="R749" s="19" t="s">
        <v>1400</v>
      </c>
      <c r="S749" s="11"/>
      <c r="T749" s="11"/>
      <c r="U749" s="10" t="str">
        <f>HYPERLINK("https://pbs.twimg.com/profile_images/982329910537736192/Kkb1Mcx4.jpg","View")</f>
        <v>View</v>
      </c>
    </row>
    <row r="750" spans="1:21" ht="51">
      <c r="A750" s="6">
        <v>43441.965335648143</v>
      </c>
      <c r="B750" s="7" t="str">
        <f>HYPERLINK("https://twitter.com/allaneras","@allaneras")</f>
        <v>@allaneras</v>
      </c>
      <c r="C750" s="8" t="s">
        <v>3044</v>
      </c>
      <c r="D750" s="9" t="s">
        <v>4629</v>
      </c>
      <c r="E750" s="10" t="str">
        <f>HYPERLINK("https://twitter.com/allaneras/status/1071164972347084800","1071164972347084800")</f>
        <v>1071164972347084800</v>
      </c>
      <c r="F750" s="12" t="s">
        <v>1526</v>
      </c>
      <c r="G750" s="11"/>
      <c r="H750" s="11"/>
      <c r="I750" s="13">
        <v>0</v>
      </c>
      <c r="J750" s="13">
        <v>0</v>
      </c>
      <c r="K750" s="14" t="str">
        <f>HYPERLINK("http://twitter.com/#!/download/ipad","Twitter for iPad")</f>
        <v>Twitter for iPad</v>
      </c>
      <c r="L750" s="13">
        <v>1298</v>
      </c>
      <c r="M750" s="13">
        <v>1028</v>
      </c>
      <c r="N750" s="13">
        <v>17</v>
      </c>
      <c r="O750" s="15"/>
      <c r="P750" s="6">
        <v>40965.131932870368</v>
      </c>
      <c r="Q750" s="18" t="s">
        <v>3047</v>
      </c>
      <c r="R750" s="19" t="s">
        <v>3048</v>
      </c>
      <c r="S750" s="11"/>
      <c r="T750" s="11"/>
      <c r="U750" s="10" t="str">
        <f>HYPERLINK("https://pbs.twimg.com/profile_images/946156392188203008/-o2mrWQq.jpg","View")</f>
        <v>View</v>
      </c>
    </row>
    <row r="751" spans="1:21" ht="20.399999999999999">
      <c r="A751" s="6">
        <v>43441.964837962965</v>
      </c>
      <c r="B751" s="7" t="str">
        <f>HYPERLINK("https://twitter.com/manuel__galvez","@manuel__galvez")</f>
        <v>@manuel__galvez</v>
      </c>
      <c r="C751" s="8" t="s">
        <v>1402</v>
      </c>
      <c r="D751" s="9" t="s">
        <v>1403</v>
      </c>
      <c r="E751" s="10" t="str">
        <f>HYPERLINK("https://twitter.com/manuel__galvez/status/1071164791186690048","1071164791186690048")</f>
        <v>1071164791186690048</v>
      </c>
      <c r="F751" s="11"/>
      <c r="G751" s="11"/>
      <c r="H751" s="11"/>
      <c r="I751" s="13">
        <v>0</v>
      </c>
      <c r="J751" s="13">
        <v>0</v>
      </c>
      <c r="K751" s="14" t="str">
        <f>HYPERLINK("http://twitter.com/download/android","Twitter for Android")</f>
        <v>Twitter for Android</v>
      </c>
      <c r="L751" s="13">
        <v>183</v>
      </c>
      <c r="M751" s="13">
        <v>108</v>
      </c>
      <c r="N751" s="13">
        <v>8</v>
      </c>
      <c r="O751" s="15"/>
      <c r="P751" s="6">
        <v>40902.551828703705</v>
      </c>
      <c r="Q751" s="18" t="s">
        <v>260</v>
      </c>
      <c r="R751" s="19" t="s">
        <v>1405</v>
      </c>
      <c r="S751" s="11"/>
      <c r="T751" s="11"/>
      <c r="U751" s="10" t="str">
        <f>HYPERLINK("https://pbs.twimg.com/profile_images/982088991649554433/7HAYnXCH.jpg","View")</f>
        <v>View</v>
      </c>
    </row>
    <row r="752" spans="1:21" ht="51">
      <c r="A752" s="6">
        <v>43441.964317129634</v>
      </c>
      <c r="B752" s="7" t="str">
        <f>HYPERLINK("https://twitter.com/allaneras","@allaneras")</f>
        <v>@allaneras</v>
      </c>
      <c r="C752" s="8" t="s">
        <v>3044</v>
      </c>
      <c r="D752" s="9" t="s">
        <v>4630</v>
      </c>
      <c r="E752" s="10" t="str">
        <f>HYPERLINK("https://twitter.com/allaneras/status/1071164605127409664","1071164605127409664")</f>
        <v>1071164605127409664</v>
      </c>
      <c r="F752" s="12" t="s">
        <v>1526</v>
      </c>
      <c r="G752" s="11"/>
      <c r="H752" s="11"/>
      <c r="I752" s="13">
        <v>0</v>
      </c>
      <c r="J752" s="13">
        <v>0</v>
      </c>
      <c r="K752" s="14" t="str">
        <f>HYPERLINK("http://twitter.com/#!/download/ipad","Twitter for iPad")</f>
        <v>Twitter for iPad</v>
      </c>
      <c r="L752" s="13">
        <v>1298</v>
      </c>
      <c r="M752" s="13">
        <v>1028</v>
      </c>
      <c r="N752" s="13">
        <v>17</v>
      </c>
      <c r="O752" s="15"/>
      <c r="P752" s="6">
        <v>40965.131932870368</v>
      </c>
      <c r="Q752" s="18" t="s">
        <v>3047</v>
      </c>
      <c r="R752" s="19" t="s">
        <v>3048</v>
      </c>
      <c r="S752" s="11"/>
      <c r="T752" s="11"/>
      <c r="U752" s="10" t="str">
        <f>HYPERLINK("https://pbs.twimg.com/profile_images/946156392188203008/-o2mrWQq.jpg","View")</f>
        <v>View</v>
      </c>
    </row>
    <row r="753" spans="1:21" ht="30.6">
      <c r="A753" s="6">
        <v>43441.962673611109</v>
      </c>
      <c r="B753" s="7" t="str">
        <f>HYPERLINK("https://twitter.com/krisstianRoAl","@krisstianRoAl")</f>
        <v>@krisstianRoAl</v>
      </c>
      <c r="C753" s="8" t="s">
        <v>1407</v>
      </c>
      <c r="D753" s="9" t="s">
        <v>1408</v>
      </c>
      <c r="E753" s="10" t="str">
        <f>HYPERLINK("https://twitter.com/krisstianRoAl/status/1071164010362478593","1071164010362478593")</f>
        <v>1071164010362478593</v>
      </c>
      <c r="F753" s="18" t="s">
        <v>1409</v>
      </c>
      <c r="G753" s="12" t="s">
        <v>1410</v>
      </c>
      <c r="H753" s="11"/>
      <c r="I753" s="13">
        <v>0</v>
      </c>
      <c r="J753" s="13">
        <v>0</v>
      </c>
      <c r="K753" s="14" t="str">
        <f t="shared" ref="K753:K754" si="146">HYPERLINK("http://twitter.com/download/android","Twitter for Android")</f>
        <v>Twitter for Android</v>
      </c>
      <c r="L753" s="13">
        <v>240</v>
      </c>
      <c r="M753" s="13">
        <v>128</v>
      </c>
      <c r="N753" s="13">
        <v>5</v>
      </c>
      <c r="O753" s="15"/>
      <c r="P753" s="6">
        <v>41393.713495370372</v>
      </c>
      <c r="Q753" s="18" t="s">
        <v>1413</v>
      </c>
      <c r="R753" s="19" t="s">
        <v>1415</v>
      </c>
      <c r="S753" s="11"/>
      <c r="T753" s="11"/>
      <c r="U753" s="10" t="str">
        <f>HYPERLINK("https://pbs.twimg.com/profile_images/1069015649165422592/lgeNlopP.jpg","View")</f>
        <v>View</v>
      </c>
    </row>
    <row r="754" spans="1:21" ht="30.6">
      <c r="A754" s="6">
        <v>43441.96166666667</v>
      </c>
      <c r="B754" s="7" t="str">
        <f>HYPERLINK("https://twitter.com/rios55gimail","@rios55gimail")</f>
        <v>@rios55gimail</v>
      </c>
      <c r="C754" s="8" t="s">
        <v>1416</v>
      </c>
      <c r="D754" s="9" t="s">
        <v>1417</v>
      </c>
      <c r="E754" s="10" t="str">
        <f>HYPERLINK("https://twitter.com/rios55gimail/status/1071163643272810496","1071163643272810496")</f>
        <v>1071163643272810496</v>
      </c>
      <c r="F754" s="11"/>
      <c r="G754" s="12" t="s">
        <v>1418</v>
      </c>
      <c r="H754" s="11"/>
      <c r="I754" s="13">
        <v>0</v>
      </c>
      <c r="J754" s="13">
        <v>0</v>
      </c>
      <c r="K754" s="14" t="str">
        <f t="shared" si="146"/>
        <v>Twitter for Android</v>
      </c>
      <c r="L754" s="13">
        <v>173</v>
      </c>
      <c r="M754" s="13">
        <v>1332</v>
      </c>
      <c r="N754" s="13">
        <v>1</v>
      </c>
      <c r="O754" s="15"/>
      <c r="P754" s="6">
        <v>41096.400601851856</v>
      </c>
      <c r="Q754" s="11"/>
      <c r="R754" s="19" t="s">
        <v>1419</v>
      </c>
      <c r="S754" s="11"/>
      <c r="T754" s="11"/>
      <c r="U754" s="10" t="str">
        <f>HYPERLINK("https://pbs.twimg.com/profile_images/799677843840110592/6LpjqxoB.jpg","View")</f>
        <v>View</v>
      </c>
    </row>
    <row r="755" spans="1:21" ht="40.799999999999997">
      <c r="A755" s="6">
        <v>43441.959861111114</v>
      </c>
      <c r="B755" s="7" t="str">
        <f>HYPERLINK("https://twitter.com/falcarazfer","@falcarazfer")</f>
        <v>@falcarazfer</v>
      </c>
      <c r="C755" s="8" t="s">
        <v>4632</v>
      </c>
      <c r="D755" s="9" t="s">
        <v>4633</v>
      </c>
      <c r="E755" s="10" t="str">
        <f>HYPERLINK("https://twitter.com/falcarazfer/status/1071162988239949825","1071162988239949825")</f>
        <v>1071162988239949825</v>
      </c>
      <c r="F755" s="12" t="s">
        <v>4634</v>
      </c>
      <c r="G755" s="11"/>
      <c r="H755" s="11"/>
      <c r="I755" s="13">
        <v>0</v>
      </c>
      <c r="J755" s="13">
        <v>0</v>
      </c>
      <c r="K755" s="14" t="str">
        <f>HYPERLINK("http://twitter.com","Twitter Web Client")</f>
        <v>Twitter Web Client</v>
      </c>
      <c r="L755" s="13">
        <v>3538</v>
      </c>
      <c r="M755" s="13">
        <v>3498</v>
      </c>
      <c r="N755" s="13">
        <v>52</v>
      </c>
      <c r="O755" s="15"/>
      <c r="P755" s="6">
        <v>41687.861030092594</v>
      </c>
      <c r="Q755" s="11"/>
      <c r="R755" s="19" t="s">
        <v>4635</v>
      </c>
      <c r="S755" s="11"/>
      <c r="T755" s="11"/>
      <c r="U755" s="10" t="str">
        <f>HYPERLINK("https://pbs.twimg.com/profile_images/459014754648879105/Dt4Ki-pT.png","View")</f>
        <v>View</v>
      </c>
    </row>
    <row r="756" spans="1:21" ht="51">
      <c r="A756" s="6">
        <v>43441.959675925929</v>
      </c>
      <c r="B756" s="7" t="str">
        <f>HYPERLINK("https://twitter.com/universalsevil1","@universalsevil1")</f>
        <v>@universalsevil1</v>
      </c>
      <c r="C756" s="8" t="s">
        <v>1961</v>
      </c>
      <c r="D756" s="9" t="s">
        <v>4636</v>
      </c>
      <c r="E756" s="10" t="str">
        <f>HYPERLINK("https://twitter.com/universalsevil1/status/1071162920346767362","1071162920346767362")</f>
        <v>1071162920346767362</v>
      </c>
      <c r="F756" s="11"/>
      <c r="G756" s="12" t="s">
        <v>4637</v>
      </c>
      <c r="H756" s="11"/>
      <c r="I756" s="13">
        <v>1</v>
      </c>
      <c r="J756" s="13">
        <v>0</v>
      </c>
      <c r="K756" s="14" t="str">
        <f t="shared" ref="K756:K757" si="147">HYPERLINK("http://twitter.com/download/android","Twitter for Android")</f>
        <v>Twitter for Android</v>
      </c>
      <c r="L756" s="13">
        <v>412</v>
      </c>
      <c r="M756" s="13">
        <v>694</v>
      </c>
      <c r="N756" s="13">
        <v>7</v>
      </c>
      <c r="O756" s="15"/>
      <c r="P756" s="6">
        <v>42373.857349537036</v>
      </c>
      <c r="Q756" s="11"/>
      <c r="R756" s="17"/>
      <c r="S756" s="11"/>
      <c r="T756" s="11"/>
      <c r="U756" s="10" t="str">
        <f>HYPERLINK("https://pbs.twimg.com/profile_images/990336265085177857/jUe7wYwz.jpg","View")</f>
        <v>View</v>
      </c>
    </row>
    <row r="757" spans="1:21" ht="30.6">
      <c r="A757" s="6">
        <v>43441.95921296296</v>
      </c>
      <c r="B757" s="7" t="str">
        <f>HYPERLINK("https://twitter.com/alvaroh1408","@alvaroh1408")</f>
        <v>@alvaroh1408</v>
      </c>
      <c r="C757" s="8" t="s">
        <v>4638</v>
      </c>
      <c r="D757" s="9" t="s">
        <v>4639</v>
      </c>
      <c r="E757" s="10" t="str">
        <f>HYPERLINK("https://twitter.com/alvaroh1408/status/1071162752255868930","1071162752255868930")</f>
        <v>1071162752255868930</v>
      </c>
      <c r="F757" s="12" t="s">
        <v>1526</v>
      </c>
      <c r="G757" s="11"/>
      <c r="H757" s="11"/>
      <c r="I757" s="13">
        <v>0</v>
      </c>
      <c r="J757" s="13">
        <v>0</v>
      </c>
      <c r="K757" s="14" t="str">
        <f t="shared" si="147"/>
        <v>Twitter for Android</v>
      </c>
      <c r="L757" s="13">
        <v>690</v>
      </c>
      <c r="M757" s="13">
        <v>547</v>
      </c>
      <c r="N757" s="13">
        <v>26</v>
      </c>
      <c r="O757" s="15"/>
      <c r="P757" s="6">
        <v>41913.490972222222</v>
      </c>
      <c r="Q757" s="18" t="s">
        <v>4641</v>
      </c>
      <c r="R757" s="19" t="s">
        <v>4642</v>
      </c>
      <c r="S757" s="11"/>
      <c r="T757" s="11"/>
      <c r="U757" s="10" t="str">
        <f>HYPERLINK("https://pbs.twimg.com/profile_images/907284585612013568/JA6wk5yV.jpg","View")</f>
        <v>View</v>
      </c>
    </row>
    <row r="758" spans="1:21" ht="30.6">
      <c r="A758" s="6">
        <v>43441.958761574075</v>
      </c>
      <c r="B758" s="7" t="str">
        <f>HYPERLINK("https://twitter.com/quediario","@quediario")</f>
        <v>@quediario</v>
      </c>
      <c r="C758" s="8" t="s">
        <v>1854</v>
      </c>
      <c r="D758" s="9" t="s">
        <v>4644</v>
      </c>
      <c r="E758" s="10" t="str">
        <f>HYPERLINK("https://twitter.com/quediario/status/1071162591085559808","1071162591085559808")</f>
        <v>1071162591085559808</v>
      </c>
      <c r="F758" s="12" t="s">
        <v>1858</v>
      </c>
      <c r="G758" s="12" t="s">
        <v>4645</v>
      </c>
      <c r="H758" s="11"/>
      <c r="I758" s="13">
        <v>0</v>
      </c>
      <c r="J758" s="13">
        <v>0</v>
      </c>
      <c r="K758" s="14" t="str">
        <f>HYPERLINK("https://www.hootsuite.com","Hootsuite Inc.")</f>
        <v>Hootsuite Inc.</v>
      </c>
      <c r="L758" s="13">
        <v>42127</v>
      </c>
      <c r="M758" s="13">
        <v>19449</v>
      </c>
      <c r="N758" s="13">
        <v>902</v>
      </c>
      <c r="O758" s="16" t="s">
        <v>25</v>
      </c>
      <c r="P758" s="6">
        <v>39904.468252314815</v>
      </c>
      <c r="Q758" s="18" t="s">
        <v>100</v>
      </c>
      <c r="R758" s="19" t="s">
        <v>1861</v>
      </c>
      <c r="S758" s="12" t="s">
        <v>1862</v>
      </c>
      <c r="T758" s="11"/>
      <c r="U758" s="10" t="str">
        <f>HYPERLINK("https://pbs.twimg.com/profile_images/921305149435465728/fPbLkA-k.jpg","View")</f>
        <v>View</v>
      </c>
    </row>
    <row r="759" spans="1:21" ht="61.2">
      <c r="A759" s="6">
        <v>43441.956597222219</v>
      </c>
      <c r="B759" s="7" t="str">
        <f>HYPERLINK("https://twitter.com/Charo32704552","@Charo32704552")</f>
        <v>@Charo32704552</v>
      </c>
      <c r="C759" s="8" t="s">
        <v>4646</v>
      </c>
      <c r="D759" s="9" t="s">
        <v>4647</v>
      </c>
      <c r="E759" s="10" t="str">
        <f>HYPERLINK("https://twitter.com/Charo32704552/status/1071161805043625984","1071161805043625984")</f>
        <v>1071161805043625984</v>
      </c>
      <c r="F759" s="12" t="s">
        <v>732</v>
      </c>
      <c r="G759" s="11"/>
      <c r="H759" s="11"/>
      <c r="I759" s="13">
        <v>0</v>
      </c>
      <c r="J759" s="13">
        <v>0</v>
      </c>
      <c r="K759" s="14" t="str">
        <f t="shared" ref="K759:K761" si="148">HYPERLINK("http://twitter.com/download/android","Twitter for Android")</f>
        <v>Twitter for Android</v>
      </c>
      <c r="L759" s="13">
        <v>69</v>
      </c>
      <c r="M759" s="13">
        <v>92</v>
      </c>
      <c r="N759" s="13">
        <v>0</v>
      </c>
      <c r="O759" s="15"/>
      <c r="P759" s="6">
        <v>43348.695844907408</v>
      </c>
      <c r="Q759" s="18" t="s">
        <v>4648</v>
      </c>
      <c r="R759" s="19" t="s">
        <v>4649</v>
      </c>
      <c r="S759" s="11"/>
      <c r="T759" s="11"/>
      <c r="U759" s="10" t="str">
        <f>HYPERLINK("https://pbs.twimg.com/profile_images/1040116382795538432/FyGUINud.jpg","View")</f>
        <v>View</v>
      </c>
    </row>
    <row r="760" spans="1:21" ht="51">
      <c r="A760" s="6">
        <v>43441.956574074073</v>
      </c>
      <c r="B760" s="7" t="str">
        <f>HYPERLINK("https://twitter.com/francisnova_145","@francisnova_145")</f>
        <v>@francisnova_145</v>
      </c>
      <c r="C760" s="8" t="s">
        <v>4650</v>
      </c>
      <c r="D760" s="9" t="s">
        <v>4651</v>
      </c>
      <c r="E760" s="10" t="str">
        <f>HYPERLINK("https://twitter.com/francisnova_145/status/1071161796860526592","1071161796860526592")</f>
        <v>1071161796860526592</v>
      </c>
      <c r="F760" s="12" t="s">
        <v>4652</v>
      </c>
      <c r="G760" s="11"/>
      <c r="H760" s="11"/>
      <c r="I760" s="13">
        <v>5</v>
      </c>
      <c r="J760" s="13">
        <v>4</v>
      </c>
      <c r="K760" s="14" t="str">
        <f t="shared" si="148"/>
        <v>Twitter for Android</v>
      </c>
      <c r="L760" s="13">
        <v>3392</v>
      </c>
      <c r="M760" s="13">
        <v>5003</v>
      </c>
      <c r="N760" s="13">
        <v>22</v>
      </c>
      <c r="O760" s="15"/>
      <c r="P760" s="6">
        <v>40602.003807870373</v>
      </c>
      <c r="Q760" s="11"/>
      <c r="R760" s="19" t="s">
        <v>4653</v>
      </c>
      <c r="S760" s="11"/>
      <c r="T760" s="11"/>
      <c r="U760" s="10" t="str">
        <f>HYPERLINK("https://pbs.twimg.com/profile_images/819656530706518016/9P6i7t9y.jpg","View")</f>
        <v>View</v>
      </c>
    </row>
    <row r="761" spans="1:21" ht="30.6">
      <c r="A761" s="6">
        <v>43441.954212962963</v>
      </c>
      <c r="B761" s="7" t="str">
        <f>HYPERLINK("https://twitter.com/bexa2004","@bexa2004")</f>
        <v>@bexa2004</v>
      </c>
      <c r="C761" s="8" t="s">
        <v>4654</v>
      </c>
      <c r="D761" s="9" t="s">
        <v>4655</v>
      </c>
      <c r="E761" s="10" t="str">
        <f>HYPERLINK("https://twitter.com/bexa2004/status/1071160940715040768","1071160940715040768")</f>
        <v>1071160940715040768</v>
      </c>
      <c r="F761" s="12" t="s">
        <v>899</v>
      </c>
      <c r="G761" s="11"/>
      <c r="H761" s="11"/>
      <c r="I761" s="13">
        <v>0</v>
      </c>
      <c r="J761" s="13">
        <v>0</v>
      </c>
      <c r="K761" s="14" t="str">
        <f t="shared" si="148"/>
        <v>Twitter for Android</v>
      </c>
      <c r="L761" s="13">
        <v>255</v>
      </c>
      <c r="M761" s="13">
        <v>114</v>
      </c>
      <c r="N761" s="13">
        <v>26</v>
      </c>
      <c r="O761" s="15"/>
      <c r="P761" s="6">
        <v>41358.8277662037</v>
      </c>
      <c r="Q761" s="18" t="s">
        <v>4656</v>
      </c>
      <c r="R761" s="19" t="s">
        <v>4657</v>
      </c>
      <c r="S761" s="11"/>
      <c r="T761" s="11"/>
      <c r="U761" s="10" t="str">
        <f>HYPERLINK("https://pbs.twimg.com/profile_images/1009694999821340672/mwgsQN85.jpg","View")</f>
        <v>View</v>
      </c>
    </row>
    <row r="762" spans="1:21" ht="40.799999999999997">
      <c r="A762" s="6">
        <v>43441.953668981485</v>
      </c>
      <c r="B762" s="7" t="str">
        <f>HYPERLINK("https://twitter.com/areanature","@areanature")</f>
        <v>@areanature</v>
      </c>
      <c r="C762" s="8" t="s">
        <v>1420</v>
      </c>
      <c r="D762" s="9" t="s">
        <v>1421</v>
      </c>
      <c r="E762" s="10" t="str">
        <f>HYPERLINK("https://twitter.com/areanature/status/1071160746409672705","1071160746409672705")</f>
        <v>1071160746409672705</v>
      </c>
      <c r="F762" s="12" t="s">
        <v>1056</v>
      </c>
      <c r="G762" s="11"/>
      <c r="H762" s="11"/>
      <c r="I762" s="13">
        <v>0</v>
      </c>
      <c r="J762" s="13">
        <v>0</v>
      </c>
      <c r="K762" s="14" t="str">
        <f>HYPERLINK("http://twitter.com","Twitter Web Client")</f>
        <v>Twitter Web Client</v>
      </c>
      <c r="L762" s="13">
        <v>105</v>
      </c>
      <c r="M762" s="13">
        <v>424</v>
      </c>
      <c r="N762" s="13">
        <v>1</v>
      </c>
      <c r="O762" s="15"/>
      <c r="P762" s="6">
        <v>41201.007638888885</v>
      </c>
      <c r="Q762" s="11"/>
      <c r="R762" s="19" t="s">
        <v>1424</v>
      </c>
      <c r="S762" s="11"/>
      <c r="T762" s="11"/>
      <c r="U762" s="10" t="str">
        <f>HYPERLINK("https://pbs.twimg.com/profile_images/976875760869879808/K1-jEvZv.jpg","View")</f>
        <v>View</v>
      </c>
    </row>
    <row r="763" spans="1:21" ht="51">
      <c r="A763" s="6">
        <v>43441.953599537039</v>
      </c>
      <c r="B763" s="7" t="str">
        <f>HYPERLINK("https://twitter.com/FreireALFONSO","@FreireALFONSO")</f>
        <v>@FreireALFONSO</v>
      </c>
      <c r="C763" s="8" t="s">
        <v>1382</v>
      </c>
      <c r="D763" s="9" t="s">
        <v>1426</v>
      </c>
      <c r="E763" s="10" t="str">
        <f>HYPERLINK("https://twitter.com/FreireALFONSO/status/1071160720887349249","1071160720887349249")</f>
        <v>1071160720887349249</v>
      </c>
      <c r="F763" s="12" t="s">
        <v>1429</v>
      </c>
      <c r="G763" s="11"/>
      <c r="H763" s="11"/>
      <c r="I763" s="13">
        <v>0</v>
      </c>
      <c r="J763" s="13">
        <v>0</v>
      </c>
      <c r="K763" s="14" t="str">
        <f>HYPERLINK("http://twitter.com/download/android","Twitter for Android")</f>
        <v>Twitter for Android</v>
      </c>
      <c r="L763" s="13">
        <v>101</v>
      </c>
      <c r="M763" s="13">
        <v>84</v>
      </c>
      <c r="N763" s="13">
        <v>4</v>
      </c>
      <c r="O763" s="15"/>
      <c r="P763" s="6">
        <v>41195.865740740745</v>
      </c>
      <c r="Q763" s="18" t="s">
        <v>1387</v>
      </c>
      <c r="R763" s="19" t="s">
        <v>1389</v>
      </c>
      <c r="S763" s="11"/>
      <c r="T763" s="11"/>
      <c r="U763" s="10" t="str">
        <f>HYPERLINK("https://pbs.twimg.com/profile_images/1040311561552887808/pTkAtlbw.jpg","View")</f>
        <v>View</v>
      </c>
    </row>
    <row r="764" spans="1:21" ht="30.6">
      <c r="A764" s="6">
        <v>43441.953414351854</v>
      </c>
      <c r="B764" s="7" t="str">
        <f>HYPERLINK("https://twitter.com/tortilleitor","@tortilleitor")</f>
        <v>@tortilleitor</v>
      </c>
      <c r="C764" s="8" t="s">
        <v>4658</v>
      </c>
      <c r="D764" s="9" t="s">
        <v>4659</v>
      </c>
      <c r="E764" s="10" t="str">
        <f>HYPERLINK("https://twitter.com/tortilleitor/status/1071160653531017216","1071160653531017216")</f>
        <v>1071160653531017216</v>
      </c>
      <c r="F764" s="12" t="s">
        <v>296</v>
      </c>
      <c r="G764" s="11"/>
      <c r="H764" s="11"/>
      <c r="I764" s="13">
        <v>0</v>
      </c>
      <c r="J764" s="13">
        <v>0</v>
      </c>
      <c r="K764" s="14" t="str">
        <f>HYPERLINK("http://www.facebook.com/twitter","Facebook")</f>
        <v>Facebook</v>
      </c>
      <c r="L764" s="13">
        <v>248</v>
      </c>
      <c r="M764" s="13">
        <v>258</v>
      </c>
      <c r="N764" s="13">
        <v>29</v>
      </c>
      <c r="O764" s="15"/>
      <c r="P764" s="6">
        <v>41211.466550925928</v>
      </c>
      <c r="Q764" s="18" t="s">
        <v>4660</v>
      </c>
      <c r="R764" s="19" t="s">
        <v>4661</v>
      </c>
      <c r="S764" s="11"/>
      <c r="T764" s="11"/>
      <c r="U764" s="10" t="str">
        <f>HYPERLINK("https://pbs.twimg.com/profile_images/803296824492773378/RcNoYIas.jpg","View")</f>
        <v>View</v>
      </c>
    </row>
    <row r="765" spans="1:21" ht="20.399999999999999">
      <c r="A765" s="6">
        <v>43441.952326388884</v>
      </c>
      <c r="B765" s="7" t="str">
        <f>HYPERLINK("https://twitter.com/RafaelPozoFern1","@RafaelPozoFern1")</f>
        <v>@RafaelPozoFern1</v>
      </c>
      <c r="C765" s="8" t="s">
        <v>4662</v>
      </c>
      <c r="D765" s="9" t="s">
        <v>1833</v>
      </c>
      <c r="E765" s="10" t="str">
        <f>HYPERLINK("https://twitter.com/RafaelPozoFern1/status/1071160260033941504","1071160260033941504")</f>
        <v>1071160260033941504</v>
      </c>
      <c r="F765" s="12" t="s">
        <v>4663</v>
      </c>
      <c r="G765" s="11"/>
      <c r="H765" s="11"/>
      <c r="I765" s="13">
        <v>0</v>
      </c>
      <c r="J765" s="13">
        <v>0</v>
      </c>
      <c r="K765" s="14" t="str">
        <f t="shared" ref="K765:K766" si="149">HYPERLINK("http://twitter.com","Twitter Web Client")</f>
        <v>Twitter Web Client</v>
      </c>
      <c r="L765" s="13">
        <v>126</v>
      </c>
      <c r="M765" s="13">
        <v>610</v>
      </c>
      <c r="N765" s="13">
        <v>0</v>
      </c>
      <c r="O765" s="15"/>
      <c r="P765" s="6">
        <v>43323.907314814816</v>
      </c>
      <c r="Q765" s="11"/>
      <c r="R765" s="19" t="s">
        <v>4664</v>
      </c>
      <c r="S765" s="11"/>
      <c r="T765" s="11"/>
      <c r="U765" s="10" t="str">
        <f>HYPERLINK("https://pbs.twimg.com/profile_images/1028368003975532549/wfcDgBy2.jpg","View")</f>
        <v>View</v>
      </c>
    </row>
    <row r="766" spans="1:21" ht="20.399999999999999">
      <c r="A766" s="6">
        <v>43441.951620370368</v>
      </c>
      <c r="B766" s="7" t="str">
        <f>HYPERLINK("https://twitter.com/Jacobo7elbobo","@Jacobo7elbobo")</f>
        <v>@Jacobo7elbobo</v>
      </c>
      <c r="C766" s="8" t="s">
        <v>147</v>
      </c>
      <c r="D766" s="9" t="s">
        <v>4468</v>
      </c>
      <c r="E766" s="10" t="str">
        <f>HYPERLINK("https://twitter.com/Jacobo7elbobo/status/1071160002528849920","1071160002528849920")</f>
        <v>1071160002528849920</v>
      </c>
      <c r="F766" s="12" t="s">
        <v>1526</v>
      </c>
      <c r="G766" s="11"/>
      <c r="H766" s="11"/>
      <c r="I766" s="13">
        <v>7</v>
      </c>
      <c r="J766" s="13">
        <v>3</v>
      </c>
      <c r="K766" s="14" t="str">
        <f t="shared" si="149"/>
        <v>Twitter Web Client</v>
      </c>
      <c r="L766" s="13">
        <v>5561</v>
      </c>
      <c r="M766" s="13">
        <v>5286</v>
      </c>
      <c r="N766" s="13">
        <v>8</v>
      </c>
      <c r="O766" s="15"/>
      <c r="P766" s="6">
        <v>42315.993460648147</v>
      </c>
      <c r="Q766" s="18" t="s">
        <v>152</v>
      </c>
      <c r="R766" s="19" t="s">
        <v>153</v>
      </c>
      <c r="S766" s="11"/>
      <c r="T766" s="11"/>
      <c r="U766" s="10" t="str">
        <f>HYPERLINK("https://pbs.twimg.com/profile_images/972809079289675776/alLBdem6.jpg","View")</f>
        <v>View</v>
      </c>
    </row>
    <row r="767" spans="1:21" ht="51">
      <c r="A767" s="6">
        <v>43441.95107638889</v>
      </c>
      <c r="B767" s="7" t="str">
        <f>HYPERLINK("https://twitter.com/romancendoya","@romancendoya")</f>
        <v>@romancendoya</v>
      </c>
      <c r="C767" s="8" t="s">
        <v>4665</v>
      </c>
      <c r="D767" s="9" t="s">
        <v>4666</v>
      </c>
      <c r="E767" s="10" t="str">
        <f>HYPERLINK("https://twitter.com/romancendoya/status/1071159803706261504","1071159803706261504")</f>
        <v>1071159803706261504</v>
      </c>
      <c r="F767" s="11"/>
      <c r="G767" s="11"/>
      <c r="H767" s="11"/>
      <c r="I767" s="13">
        <v>150</v>
      </c>
      <c r="J767" s="13">
        <v>359</v>
      </c>
      <c r="K767" s="14" t="str">
        <f>HYPERLINK("https://www.hootsuite.com","Hootsuite Inc.")</f>
        <v>Hootsuite Inc.</v>
      </c>
      <c r="L767" s="13">
        <v>20558</v>
      </c>
      <c r="M767" s="13">
        <v>266</v>
      </c>
      <c r="N767" s="13">
        <v>305</v>
      </c>
      <c r="O767" s="15"/>
      <c r="P767" s="6">
        <v>40551.811967592592</v>
      </c>
      <c r="Q767" s="18" t="s">
        <v>4667</v>
      </c>
      <c r="R767" s="19" t="s">
        <v>4668</v>
      </c>
      <c r="S767" s="11"/>
      <c r="T767" s="11"/>
      <c r="U767" s="10" t="str">
        <f>HYPERLINK("https://pbs.twimg.com/profile_images/378800000630817592/673ad742e78a3ddacbdce974a443892d.jpeg","View")</f>
        <v>View</v>
      </c>
    </row>
    <row r="768" spans="1:21" ht="81.599999999999994">
      <c r="A768" s="6">
        <v>43441.949247685188</v>
      </c>
      <c r="B768" s="7" t="str">
        <f>HYPERLINK("https://twitter.com/Escapadasss","@Escapadasss")</f>
        <v>@Escapadasss</v>
      </c>
      <c r="C768" s="8" t="s">
        <v>1433</v>
      </c>
      <c r="D768" s="9" t="s">
        <v>1434</v>
      </c>
      <c r="E768" s="10" t="str">
        <f>HYPERLINK("https://twitter.com/Escapadasss/status/1071159144755982336","1071159144755982336")</f>
        <v>1071159144755982336</v>
      </c>
      <c r="F768" s="12" t="s">
        <v>1435</v>
      </c>
      <c r="G768" s="12" t="s">
        <v>1436</v>
      </c>
      <c r="H768" s="11"/>
      <c r="I768" s="13">
        <v>0</v>
      </c>
      <c r="J768" s="13">
        <v>0</v>
      </c>
      <c r="K768" s="14" t="str">
        <f>HYPERLINK("http://twitter.com/download/android","Twitter for Android")</f>
        <v>Twitter for Android</v>
      </c>
      <c r="L768" s="13">
        <v>175</v>
      </c>
      <c r="M768" s="13">
        <v>348</v>
      </c>
      <c r="N768" s="13">
        <v>1</v>
      </c>
      <c r="O768" s="15"/>
      <c r="P768" s="6">
        <v>43160.846909722226</v>
      </c>
      <c r="Q768" s="11"/>
      <c r="R768" s="19" t="s">
        <v>1437</v>
      </c>
      <c r="S768" s="11"/>
      <c r="T768" s="11"/>
      <c r="U768" s="10" t="str">
        <f>HYPERLINK("https://pbs.twimg.com/profile_images/1042879281947463680/YCkqA0tU.jpg","View")</f>
        <v>View</v>
      </c>
    </row>
    <row r="769" spans="1:21" ht="13.2">
      <c r="A769" s="6">
        <v>43441.948726851857</v>
      </c>
      <c r="B769" s="7" t="str">
        <f>HYPERLINK("https://twitter.com/NoticieroUniv","@NoticieroUniv")</f>
        <v>@NoticieroUniv</v>
      </c>
      <c r="C769" s="8" t="s">
        <v>4669</v>
      </c>
      <c r="D769" s="9" t="s">
        <v>4670</v>
      </c>
      <c r="E769" s="10" t="str">
        <f>HYPERLINK("https://twitter.com/NoticieroUniv/status/1071158955437629441","1071158955437629441")</f>
        <v>1071158955437629441</v>
      </c>
      <c r="F769" s="12" t="s">
        <v>4671</v>
      </c>
      <c r="G769" s="11"/>
      <c r="H769" s="11"/>
      <c r="I769" s="13">
        <v>0</v>
      </c>
      <c r="J769" s="13">
        <v>0</v>
      </c>
      <c r="K769" s="14" t="str">
        <f>HYPERLINK("https://noticierouniversal.com/","NoticieroUniversal")</f>
        <v>NoticieroUniversal</v>
      </c>
      <c r="L769" s="13">
        <v>836</v>
      </c>
      <c r="M769" s="13">
        <v>36</v>
      </c>
      <c r="N769" s="13">
        <v>21</v>
      </c>
      <c r="O769" s="15"/>
      <c r="P769" s="6">
        <v>42402.547939814816</v>
      </c>
      <c r="Q769" s="18" t="s">
        <v>246</v>
      </c>
      <c r="R769" s="19" t="s">
        <v>4672</v>
      </c>
      <c r="S769" s="12" t="s">
        <v>4673</v>
      </c>
      <c r="T769" s="11"/>
      <c r="U769" s="10" t="str">
        <f>HYPERLINK("https://pbs.twimg.com/profile_images/719648419925594113/OnR0XNMn.jpg","View")</f>
        <v>View</v>
      </c>
    </row>
    <row r="770" spans="1:21" ht="51">
      <c r="A770" s="6">
        <v>43441.946828703702</v>
      </c>
      <c r="B770" s="7" t="str">
        <f>HYPERLINK("https://twitter.com/OrbitaEduardo","@OrbitaEduardo")</f>
        <v>@OrbitaEduardo</v>
      </c>
      <c r="C770" s="8" t="s">
        <v>930</v>
      </c>
      <c r="D770" s="9" t="s">
        <v>4675</v>
      </c>
      <c r="E770" s="10" t="str">
        <f>HYPERLINK("https://twitter.com/OrbitaEduardo/status/1071158265495650309","1071158265495650309")</f>
        <v>1071158265495650309</v>
      </c>
      <c r="F770" s="11"/>
      <c r="G770" s="12" t="s">
        <v>4676</v>
      </c>
      <c r="H770" s="11"/>
      <c r="I770" s="13">
        <v>20</v>
      </c>
      <c r="J770" s="13">
        <v>8</v>
      </c>
      <c r="K770" s="14" t="str">
        <f t="shared" ref="K770:K771" si="150">HYPERLINK("http://twitter.com/download/android","Twitter for Android")</f>
        <v>Twitter for Android</v>
      </c>
      <c r="L770" s="13">
        <v>4523</v>
      </c>
      <c r="M770" s="13">
        <v>4948</v>
      </c>
      <c r="N770" s="13">
        <v>13</v>
      </c>
      <c r="O770" s="15"/>
      <c r="P770" s="6">
        <v>43110.374305555553</v>
      </c>
      <c r="Q770" s="18" t="s">
        <v>260</v>
      </c>
      <c r="R770" s="19" t="s">
        <v>935</v>
      </c>
      <c r="S770" s="11"/>
      <c r="T770" s="11"/>
      <c r="U770" s="10" t="str">
        <f>HYPERLINK("https://pbs.twimg.com/profile_images/1034013666600001538/MmqVJqFc.jpg","View")</f>
        <v>View</v>
      </c>
    </row>
    <row r="771" spans="1:21" ht="51">
      <c r="A771" s="6">
        <v>43441.946747685186</v>
      </c>
      <c r="B771" s="7" t="str">
        <f>HYPERLINK("https://twitter.com/FreireALFONSO","@FreireALFONSO")</f>
        <v>@FreireALFONSO</v>
      </c>
      <c r="C771" s="8" t="s">
        <v>1382</v>
      </c>
      <c r="D771" s="9" t="s">
        <v>1439</v>
      </c>
      <c r="E771" s="10" t="str">
        <f>HYPERLINK("https://twitter.com/FreireALFONSO/status/1071158235233685504","1071158235233685504")</f>
        <v>1071158235233685504</v>
      </c>
      <c r="F771" s="12" t="s">
        <v>1442</v>
      </c>
      <c r="G771" s="11"/>
      <c r="H771" s="11"/>
      <c r="I771" s="13">
        <v>0</v>
      </c>
      <c r="J771" s="13">
        <v>0</v>
      </c>
      <c r="K771" s="14" t="str">
        <f t="shared" si="150"/>
        <v>Twitter for Android</v>
      </c>
      <c r="L771" s="13">
        <v>101</v>
      </c>
      <c r="M771" s="13">
        <v>84</v>
      </c>
      <c r="N771" s="13">
        <v>4</v>
      </c>
      <c r="O771" s="15"/>
      <c r="P771" s="6">
        <v>41195.865740740745</v>
      </c>
      <c r="Q771" s="18" t="s">
        <v>1387</v>
      </c>
      <c r="R771" s="19" t="s">
        <v>1389</v>
      </c>
      <c r="S771" s="11"/>
      <c r="T771" s="11"/>
      <c r="U771" s="10" t="str">
        <f>HYPERLINK("https://pbs.twimg.com/profile_images/1040311561552887808/pTkAtlbw.jpg","View")</f>
        <v>View</v>
      </c>
    </row>
    <row r="772" spans="1:21" ht="61.2">
      <c r="A772" s="6">
        <v>43441.945104166662</v>
      </c>
      <c r="B772" s="7" t="str">
        <f>HYPERLINK("https://twitter.com/romanferro","@romanferro")</f>
        <v>@romanferro</v>
      </c>
      <c r="C772" s="8" t="s">
        <v>1453</v>
      </c>
      <c r="D772" s="9" t="s">
        <v>1454</v>
      </c>
      <c r="E772" s="10" t="str">
        <f>HYPERLINK("https://twitter.com/romanferro/status/1071157639579602945","1071157639579602945")</f>
        <v>1071157639579602945</v>
      </c>
      <c r="F772" s="18" t="s">
        <v>1456</v>
      </c>
      <c r="G772" s="11"/>
      <c r="H772" s="11"/>
      <c r="I772" s="13">
        <v>0</v>
      </c>
      <c r="J772" s="13">
        <v>0</v>
      </c>
      <c r="K772" s="14" t="str">
        <f>HYPERLINK("http://twitter.com/download/iphone","Twitter for iPhone")</f>
        <v>Twitter for iPhone</v>
      </c>
      <c r="L772" s="13">
        <v>1021</v>
      </c>
      <c r="M772" s="13">
        <v>331</v>
      </c>
      <c r="N772" s="13">
        <v>12</v>
      </c>
      <c r="O772" s="15"/>
      <c r="P772" s="6">
        <v>40204.927465277782</v>
      </c>
      <c r="Q772" s="11"/>
      <c r="R772" s="19" t="s">
        <v>1461</v>
      </c>
      <c r="S772" s="11"/>
      <c r="T772" s="11"/>
      <c r="U772" s="10" t="str">
        <f>HYPERLINK("https://pbs.twimg.com/profile_images/621166842736955392/OX_zwGTo.png","View")</f>
        <v>View</v>
      </c>
    </row>
    <row r="773" spans="1:21" ht="40.799999999999997">
      <c r="A773" s="6">
        <v>43441.945057870369</v>
      </c>
      <c r="B773" s="7" t="str">
        <f>HYPERLINK("https://twitter.com/SalvaTolito","@SalvaTolito")</f>
        <v>@SalvaTolito</v>
      </c>
      <c r="C773" s="8" t="s">
        <v>4677</v>
      </c>
      <c r="D773" s="9" t="s">
        <v>834</v>
      </c>
      <c r="E773" s="10" t="str">
        <f>HYPERLINK("https://twitter.com/SalvaTolito/status/1071157625423884288","1071157625423884288")</f>
        <v>1071157625423884288</v>
      </c>
      <c r="F773" s="12" t="s">
        <v>899</v>
      </c>
      <c r="G773" s="11"/>
      <c r="H773" s="11"/>
      <c r="I773" s="13">
        <v>0</v>
      </c>
      <c r="J773" s="13">
        <v>0</v>
      </c>
      <c r="K773" s="14" t="str">
        <f t="shared" ref="K773:K774" si="151">HYPERLINK("http://twitter.com","Twitter Web Client")</f>
        <v>Twitter Web Client</v>
      </c>
      <c r="L773" s="13">
        <v>172</v>
      </c>
      <c r="M773" s="13">
        <v>853</v>
      </c>
      <c r="N773" s="13">
        <v>0</v>
      </c>
      <c r="O773" s="15"/>
      <c r="P773" s="6">
        <v>43011.964212962965</v>
      </c>
      <c r="Q773" s="18" t="s">
        <v>4678</v>
      </c>
      <c r="R773" s="19" t="s">
        <v>4679</v>
      </c>
      <c r="S773" s="11"/>
      <c r="T773" s="11"/>
      <c r="U773" s="16" t="s">
        <v>191</v>
      </c>
    </row>
    <row r="774" spans="1:21" ht="61.2">
      <c r="A774" s="6">
        <v>43441.944826388892</v>
      </c>
      <c r="B774" s="7" t="str">
        <f>HYPERLINK("https://twitter.com/santiman_spain","@santiman_spain")</f>
        <v>@santiman_spain</v>
      </c>
      <c r="C774" s="8" t="s">
        <v>1462</v>
      </c>
      <c r="D774" s="9" t="s">
        <v>1463</v>
      </c>
      <c r="E774" s="10" t="str">
        <f>HYPERLINK("https://twitter.com/santiman_spain/status/1071157538928975873","1071157538928975873")</f>
        <v>1071157538928975873</v>
      </c>
      <c r="F774" s="12" t="s">
        <v>1465</v>
      </c>
      <c r="G774" s="11"/>
      <c r="H774" s="11"/>
      <c r="I774" s="13">
        <v>0</v>
      </c>
      <c r="J774" s="13">
        <v>0</v>
      </c>
      <c r="K774" s="14" t="str">
        <f t="shared" si="151"/>
        <v>Twitter Web Client</v>
      </c>
      <c r="L774" s="13">
        <v>1806</v>
      </c>
      <c r="M774" s="13">
        <v>1743</v>
      </c>
      <c r="N774" s="13">
        <v>26</v>
      </c>
      <c r="O774" s="15"/>
      <c r="P774" s="6">
        <v>41380.595127314817</v>
      </c>
      <c r="Q774" s="18" t="s">
        <v>307</v>
      </c>
      <c r="R774" s="19" t="s">
        <v>1467</v>
      </c>
      <c r="S774" s="12" t="s">
        <v>1468</v>
      </c>
      <c r="T774" s="11"/>
      <c r="U774" s="10" t="str">
        <f>HYPERLINK("https://pbs.twimg.com/profile_images/824354780306882561/cOat5AAm.jpg","View")</f>
        <v>View</v>
      </c>
    </row>
    <row r="775" spans="1:21" ht="30.6">
      <c r="A775" s="6">
        <v>43441.943900462968</v>
      </c>
      <c r="B775" s="7" t="str">
        <f>HYPERLINK("https://twitter.com/dessconfia","@dessconfia")</f>
        <v>@dessconfia</v>
      </c>
      <c r="C775" s="8" t="s">
        <v>1472</v>
      </c>
      <c r="D775" s="9" t="s">
        <v>1473</v>
      </c>
      <c r="E775" s="10" t="str">
        <f>HYPERLINK("https://twitter.com/dessconfia/status/1071157205595054081","1071157205595054081")</f>
        <v>1071157205595054081</v>
      </c>
      <c r="F775" s="11"/>
      <c r="G775" s="12" t="s">
        <v>1476</v>
      </c>
      <c r="H775" s="11"/>
      <c r="I775" s="13">
        <v>0</v>
      </c>
      <c r="J775" s="13">
        <v>0</v>
      </c>
      <c r="K775" s="14" t="str">
        <f>HYPERLINK("https://mobile.twitter.com","Twitter Lite")</f>
        <v>Twitter Lite</v>
      </c>
      <c r="L775" s="13">
        <v>257</v>
      </c>
      <c r="M775" s="13">
        <v>421</v>
      </c>
      <c r="N775" s="13">
        <v>1</v>
      </c>
      <c r="O775" s="15"/>
      <c r="P775" s="6">
        <v>42391.683113425926</v>
      </c>
      <c r="Q775" s="18" t="s">
        <v>1478</v>
      </c>
      <c r="R775" s="17"/>
      <c r="S775" s="11"/>
      <c r="T775" s="11"/>
      <c r="U775" s="10" t="str">
        <f>HYPERLINK("https://pbs.twimg.com/profile_images/690846977253335040/8Tsfa6CZ.png","View")</f>
        <v>View</v>
      </c>
    </row>
    <row r="776" spans="1:21" ht="20.399999999999999">
      <c r="A776" s="6">
        <v>43441.943495370375</v>
      </c>
      <c r="B776" s="7" t="str">
        <f>HYPERLINK("https://twitter.com/quieresmejorar","@quieresmejorar")</f>
        <v>@quieresmejorar</v>
      </c>
      <c r="C776" s="8" t="s">
        <v>4681</v>
      </c>
      <c r="D776" s="9" t="s">
        <v>4468</v>
      </c>
      <c r="E776" s="10" t="str">
        <f>HYPERLINK("https://twitter.com/quieresmejorar/status/1071157056806289409","1071157056806289409")</f>
        <v>1071157056806289409</v>
      </c>
      <c r="F776" s="12" t="s">
        <v>1526</v>
      </c>
      <c r="G776" s="11"/>
      <c r="H776" s="11"/>
      <c r="I776" s="13">
        <v>0</v>
      </c>
      <c r="J776" s="13">
        <v>0</v>
      </c>
      <c r="K776" s="14" t="str">
        <f>HYPERLINK("http://twitter.com/download/iphone","Twitter for iPhone")</f>
        <v>Twitter for iPhone</v>
      </c>
      <c r="L776" s="13">
        <v>79</v>
      </c>
      <c r="M776" s="13">
        <v>315</v>
      </c>
      <c r="N776" s="13">
        <v>0</v>
      </c>
      <c r="O776" s="15"/>
      <c r="P776" s="6">
        <v>41682.720300925925</v>
      </c>
      <c r="Q776" s="11"/>
      <c r="R776" s="19" t="s">
        <v>4682</v>
      </c>
      <c r="S776" s="11"/>
      <c r="T776" s="11"/>
      <c r="U776" s="10" t="str">
        <f>HYPERLINK("https://pbs.twimg.com/profile_images/929426162320846851/K3gmRE4Y.jpg","View")</f>
        <v>View</v>
      </c>
    </row>
    <row r="777" spans="1:21" ht="51">
      <c r="A777" s="6">
        <v>43441.942627314813</v>
      </c>
      <c r="B777" s="7" t="str">
        <f>HYPERLINK("https://twitter.com/mmmbango","@mmmbango")</f>
        <v>@mmmbango</v>
      </c>
      <c r="C777" s="8" t="s">
        <v>4683</v>
      </c>
      <c r="D777" s="9" t="s">
        <v>4684</v>
      </c>
      <c r="E777" s="10" t="str">
        <f>HYPERLINK("https://twitter.com/mmmbango/status/1071156742971637761","1071156742971637761")</f>
        <v>1071156742971637761</v>
      </c>
      <c r="F777" s="12" t="s">
        <v>899</v>
      </c>
      <c r="G777" s="11"/>
      <c r="H777" s="11"/>
      <c r="I777" s="13">
        <v>6</v>
      </c>
      <c r="J777" s="13">
        <v>8</v>
      </c>
      <c r="K777" s="14" t="str">
        <f t="shared" ref="K777:K778" si="152">HYPERLINK("http://twitter.com/download/android","Twitter for Android")</f>
        <v>Twitter for Android</v>
      </c>
      <c r="L777" s="13">
        <v>6691</v>
      </c>
      <c r="M777" s="13">
        <v>4488</v>
      </c>
      <c r="N777" s="13">
        <v>69</v>
      </c>
      <c r="O777" s="15"/>
      <c r="P777" s="6">
        <v>41521.720983796295</v>
      </c>
      <c r="Q777" s="18" t="s">
        <v>4685</v>
      </c>
      <c r="R777" s="19" t="s">
        <v>4686</v>
      </c>
      <c r="S777" s="12" t="s">
        <v>4687</v>
      </c>
      <c r="T777" s="11"/>
      <c r="U777" s="10" t="str">
        <f>HYPERLINK("https://pbs.twimg.com/profile_images/855523465796964352/PuP44M-h.jpg","View")</f>
        <v>View</v>
      </c>
    </row>
    <row r="778" spans="1:21" ht="40.799999999999997">
      <c r="A778" s="6">
        <v>43441.941284722227</v>
      </c>
      <c r="B778" s="7" t="str">
        <f>HYPERLINK("https://twitter.com/fralbaro","@fralbaro")</f>
        <v>@fralbaro</v>
      </c>
      <c r="C778" s="8" t="s">
        <v>4688</v>
      </c>
      <c r="D778" s="9" t="s">
        <v>4689</v>
      </c>
      <c r="E778" s="10" t="str">
        <f>HYPERLINK("https://twitter.com/fralbaro/status/1071156257732595713","1071156257732595713")</f>
        <v>1071156257732595713</v>
      </c>
      <c r="F778" s="12" t="s">
        <v>4690</v>
      </c>
      <c r="G778" s="11"/>
      <c r="H778" s="11"/>
      <c r="I778" s="13">
        <v>1</v>
      </c>
      <c r="J778" s="13">
        <v>1</v>
      </c>
      <c r="K778" s="14" t="str">
        <f t="shared" si="152"/>
        <v>Twitter for Android</v>
      </c>
      <c r="L778" s="13">
        <v>749</v>
      </c>
      <c r="M778" s="13">
        <v>299</v>
      </c>
      <c r="N778" s="13">
        <v>17</v>
      </c>
      <c r="O778" s="15"/>
      <c r="P778" s="6">
        <v>41322.636493055557</v>
      </c>
      <c r="Q778" s="18" t="s">
        <v>4691</v>
      </c>
      <c r="R778" s="19" t="s">
        <v>4692</v>
      </c>
      <c r="S778" s="11"/>
      <c r="T778" s="11"/>
      <c r="U778" s="10" t="str">
        <f>HYPERLINK("https://pbs.twimg.com/profile_images/1025837365129031682/7qisDHsn.jpg","View")</f>
        <v>View</v>
      </c>
    </row>
    <row r="779" spans="1:21" ht="20.399999999999999">
      <c r="A779" s="6">
        <v>43441.939756944441</v>
      </c>
      <c r="B779" s="7" t="str">
        <f>HYPERLINK("https://twitter.com/pmanglano","@pmanglano")</f>
        <v>@pmanglano</v>
      </c>
      <c r="C779" s="8" t="s">
        <v>1122</v>
      </c>
      <c r="D779" s="9" t="s">
        <v>4693</v>
      </c>
      <c r="E779" s="10" t="str">
        <f>HYPERLINK("https://twitter.com/pmanglano/status/1071155705405730816","1071155705405730816")</f>
        <v>1071155705405730816</v>
      </c>
      <c r="F779" s="11"/>
      <c r="G779" s="12" t="s">
        <v>4426</v>
      </c>
      <c r="H779" s="11"/>
      <c r="I779" s="13">
        <v>84</v>
      </c>
      <c r="J779" s="13">
        <v>112</v>
      </c>
      <c r="K779" s="14" t="str">
        <f t="shared" ref="K779:K780" si="153">HYPERLINK("http://twitter.com/download/iphone","Twitter for iPhone")</f>
        <v>Twitter for iPhone</v>
      </c>
      <c r="L779" s="13">
        <v>28918</v>
      </c>
      <c r="M779" s="13">
        <v>1271</v>
      </c>
      <c r="N779" s="13">
        <v>564</v>
      </c>
      <c r="O779" s="15"/>
      <c r="P779" s="6">
        <v>40571.648715277777</v>
      </c>
      <c r="Q779" s="18" t="s">
        <v>41</v>
      </c>
      <c r="R779" s="19" t="s">
        <v>1125</v>
      </c>
      <c r="S779" s="11"/>
      <c r="T779" s="11"/>
      <c r="U779" s="10" t="str">
        <f>HYPERLINK("https://pbs.twimg.com/profile_images/3215118091/d88fbb5df45b9a161b857e0a71830a4b.png","View")</f>
        <v>View</v>
      </c>
    </row>
    <row r="780" spans="1:21" ht="20.399999999999999">
      <c r="A780" s="6">
        <v>43441.93886574074</v>
      </c>
      <c r="B780" s="7" t="str">
        <f>HYPERLINK("https://twitter.com/MagdaQR","@MagdaQR")</f>
        <v>@MagdaQR</v>
      </c>
      <c r="C780" s="8" t="s">
        <v>1481</v>
      </c>
      <c r="D780" s="9" t="s">
        <v>1482</v>
      </c>
      <c r="E780" s="10" t="str">
        <f>HYPERLINK("https://twitter.com/MagdaQR/status/1071155379894145028","1071155379894145028")</f>
        <v>1071155379894145028</v>
      </c>
      <c r="F780" s="12" t="s">
        <v>1483</v>
      </c>
      <c r="G780" s="11"/>
      <c r="H780" s="11"/>
      <c r="I780" s="13">
        <v>0</v>
      </c>
      <c r="J780" s="13">
        <v>0</v>
      </c>
      <c r="K780" s="14" t="str">
        <f t="shared" si="153"/>
        <v>Twitter for iPhone</v>
      </c>
      <c r="L780" s="13">
        <v>183</v>
      </c>
      <c r="M780" s="13">
        <v>425</v>
      </c>
      <c r="N780" s="13">
        <v>9</v>
      </c>
      <c r="O780" s="15"/>
      <c r="P780" s="6">
        <v>41292.960891203707</v>
      </c>
      <c r="Q780" s="11"/>
      <c r="R780" s="19" t="s">
        <v>1484</v>
      </c>
      <c r="S780" s="11"/>
      <c r="T780" s="11"/>
      <c r="U780" s="10" t="str">
        <f>HYPERLINK("https://pbs.twimg.com/profile_images/1017165496280666112/YVBuLPNe.jpg","View")</f>
        <v>View</v>
      </c>
    </row>
    <row r="781" spans="1:21" ht="20.399999999999999">
      <c r="A781" s="6">
        <v>43441.938622685186</v>
      </c>
      <c r="B781" s="7" t="str">
        <f>HYPERLINK("https://twitter.com/LAREVUELO53","@LAREVUELO53")</f>
        <v>@LAREVUELO53</v>
      </c>
      <c r="C781" s="8" t="s">
        <v>4694</v>
      </c>
      <c r="D781" s="9" t="s">
        <v>4695</v>
      </c>
      <c r="E781" s="10" t="str">
        <f>HYPERLINK("https://twitter.com/LAREVUELO53/status/1071155293571203072","1071155293571203072")</f>
        <v>1071155293571203072</v>
      </c>
      <c r="F781" s="12" t="s">
        <v>4696</v>
      </c>
      <c r="G781" s="11"/>
      <c r="H781" s="11"/>
      <c r="I781" s="13">
        <v>0</v>
      </c>
      <c r="J781" s="13">
        <v>0</v>
      </c>
      <c r="K781" s="14" t="str">
        <f>HYPERLINK("http://twitter.com","Twitter Web Client")</f>
        <v>Twitter Web Client</v>
      </c>
      <c r="L781" s="13">
        <v>415</v>
      </c>
      <c r="M781" s="13">
        <v>1519</v>
      </c>
      <c r="N781" s="13">
        <v>4</v>
      </c>
      <c r="O781" s="15"/>
      <c r="P781" s="6">
        <v>40681.9059375</v>
      </c>
      <c r="Q781" s="18" t="s">
        <v>1637</v>
      </c>
      <c r="R781" s="17"/>
      <c r="S781" s="12" t="s">
        <v>4697</v>
      </c>
      <c r="T781" s="11"/>
      <c r="U781" s="10" t="str">
        <f>HYPERLINK("https://pbs.twimg.com/profile_images/719705597436960769/UB_JVe0J.jpg","View")</f>
        <v>View</v>
      </c>
    </row>
    <row r="782" spans="1:21" ht="30.6">
      <c r="A782" s="6">
        <v>43441.937824074077</v>
      </c>
      <c r="B782" s="7" t="str">
        <f>HYPERLINK("https://twitter.com/IngAerRodriguez","@IngAerRodriguez")</f>
        <v>@IngAerRodriguez</v>
      </c>
      <c r="C782" s="8" t="s">
        <v>1485</v>
      </c>
      <c r="D782" s="9" t="s">
        <v>1486</v>
      </c>
      <c r="E782" s="10" t="str">
        <f>HYPERLINK("https://twitter.com/IngAerRodriguez/status/1071155004248113152","1071155004248113152")</f>
        <v>1071155004248113152</v>
      </c>
      <c r="F782" s="12" t="s">
        <v>1487</v>
      </c>
      <c r="G782" s="12" t="s">
        <v>1488</v>
      </c>
      <c r="H782" s="11"/>
      <c r="I782" s="13">
        <v>0</v>
      </c>
      <c r="J782" s="13">
        <v>0</v>
      </c>
      <c r="K782" s="14" t="str">
        <f>HYPERLINK("http://twitter.com/download/android","Twitter for Android")</f>
        <v>Twitter for Android</v>
      </c>
      <c r="L782" s="13">
        <v>327</v>
      </c>
      <c r="M782" s="13">
        <v>1296</v>
      </c>
      <c r="N782" s="13">
        <v>10</v>
      </c>
      <c r="O782" s="15"/>
      <c r="P782" s="6">
        <v>40814.700775462959</v>
      </c>
      <c r="Q782" s="18" t="s">
        <v>1489</v>
      </c>
      <c r="R782" s="19" t="s">
        <v>1490</v>
      </c>
      <c r="S782" s="11"/>
      <c r="T782" s="11"/>
      <c r="U782" s="10" t="str">
        <f>HYPERLINK("https://pbs.twimg.com/profile_images/945605637655887872/z3MB28T5.jpg","View")</f>
        <v>View</v>
      </c>
    </row>
    <row r="783" spans="1:21" ht="40.799999999999997">
      <c r="A783" s="6">
        <v>43441.937743055554</v>
      </c>
      <c r="B783" s="7" t="str">
        <f>HYPERLINK("https://twitter.com/DaniPintoB","@DaniPintoB")</f>
        <v>@DaniPintoB</v>
      </c>
      <c r="C783" s="8" t="s">
        <v>4698</v>
      </c>
      <c r="D783" s="9" t="s">
        <v>4699</v>
      </c>
      <c r="E783" s="10" t="str">
        <f>HYPERLINK("https://twitter.com/DaniPintoB/status/1071154975450021889","1071154975450021889")</f>
        <v>1071154975450021889</v>
      </c>
      <c r="F783" s="12" t="s">
        <v>1526</v>
      </c>
      <c r="G783" s="11"/>
      <c r="H783" s="11"/>
      <c r="I783" s="13">
        <v>87</v>
      </c>
      <c r="J783" s="13">
        <v>79</v>
      </c>
      <c r="K783" s="14" t="str">
        <f>HYPERLINK("http://twitter.com/download/iphone","Twitter for iPhone")</f>
        <v>Twitter for iPhone</v>
      </c>
      <c r="L783" s="13">
        <v>46352</v>
      </c>
      <c r="M783" s="13">
        <v>32837</v>
      </c>
      <c r="N783" s="13">
        <v>233</v>
      </c>
      <c r="O783" s="15"/>
      <c r="P783" s="6">
        <v>40300.900092592594</v>
      </c>
      <c r="Q783" s="18" t="s">
        <v>4700</v>
      </c>
      <c r="R783" s="19" t="s">
        <v>4701</v>
      </c>
      <c r="S783" s="12" t="s">
        <v>4702</v>
      </c>
      <c r="T783" s="11"/>
      <c r="U783" s="10" t="str">
        <f>HYPERLINK("https://pbs.twimg.com/profile_images/1031594836867072002/UeabY149.jpg","View")</f>
        <v>View</v>
      </c>
    </row>
    <row r="784" spans="1:21" ht="20.399999999999999">
      <c r="A784" s="6">
        <v>43441.937546296293</v>
      </c>
      <c r="B784" s="7" t="str">
        <f>HYPERLINK("https://twitter.com/LAREVUELO53","@LAREVUELO53")</f>
        <v>@LAREVUELO53</v>
      </c>
      <c r="C784" s="8" t="s">
        <v>4694</v>
      </c>
      <c r="D784" s="9" t="s">
        <v>4703</v>
      </c>
      <c r="E784" s="10" t="str">
        <f>HYPERLINK("https://twitter.com/LAREVUELO53/status/1071154901147881472","1071154901147881472")</f>
        <v>1071154901147881472</v>
      </c>
      <c r="F784" s="12" t="s">
        <v>4704</v>
      </c>
      <c r="G784" s="11"/>
      <c r="H784" s="11"/>
      <c r="I784" s="13">
        <v>0</v>
      </c>
      <c r="J784" s="13">
        <v>0</v>
      </c>
      <c r="K784" s="14" t="str">
        <f>HYPERLINK("http://twitter.com","Twitter Web Client")</f>
        <v>Twitter Web Client</v>
      </c>
      <c r="L784" s="13">
        <v>415</v>
      </c>
      <c r="M784" s="13">
        <v>1519</v>
      </c>
      <c r="N784" s="13">
        <v>4</v>
      </c>
      <c r="O784" s="15"/>
      <c r="P784" s="6">
        <v>40681.9059375</v>
      </c>
      <c r="Q784" s="18" t="s">
        <v>1637</v>
      </c>
      <c r="R784" s="17"/>
      <c r="S784" s="12" t="s">
        <v>4697</v>
      </c>
      <c r="T784" s="11"/>
      <c r="U784" s="10" t="str">
        <f>HYPERLINK("https://pbs.twimg.com/profile_images/719705597436960769/UB_JVe0J.jpg","View")</f>
        <v>View</v>
      </c>
    </row>
    <row r="785" spans="1:21" ht="20.399999999999999">
      <c r="A785" s="6">
        <v>43441.93677083333</v>
      </c>
      <c r="B785" s="7" t="str">
        <f>HYPERLINK("https://twitter.com/horemheb33","@horemheb33")</f>
        <v>@horemheb33</v>
      </c>
      <c r="C785" s="8" t="s">
        <v>1491</v>
      </c>
      <c r="D785" s="9" t="s">
        <v>1492</v>
      </c>
      <c r="E785" s="10" t="str">
        <f>HYPERLINK("https://twitter.com/horemheb33/status/1071154622394482689","1071154622394482689")</f>
        <v>1071154622394482689</v>
      </c>
      <c r="F785" s="12" t="s">
        <v>1493</v>
      </c>
      <c r="G785" s="11"/>
      <c r="H785" s="11"/>
      <c r="I785" s="13">
        <v>0</v>
      </c>
      <c r="J785" s="13">
        <v>0</v>
      </c>
      <c r="K785" s="14" t="str">
        <f>HYPERLINK("http://twitter.com/download/iphone","Twitter for iPhone")</f>
        <v>Twitter for iPhone</v>
      </c>
      <c r="L785" s="13">
        <v>1999</v>
      </c>
      <c r="M785" s="13">
        <v>2942</v>
      </c>
      <c r="N785" s="13">
        <v>28</v>
      </c>
      <c r="O785" s="15"/>
      <c r="P785" s="6">
        <v>40280.922418981485</v>
      </c>
      <c r="Q785" s="18" t="s">
        <v>1278</v>
      </c>
      <c r="R785" s="19" t="s">
        <v>1495</v>
      </c>
      <c r="S785" s="11"/>
      <c r="T785" s="11"/>
      <c r="U785" s="10" t="str">
        <f>HYPERLINK("https://pbs.twimg.com/profile_images/1065259017382043649/Gs7bwMQL.jpg","View")</f>
        <v>View</v>
      </c>
    </row>
    <row r="786" spans="1:21" ht="91.8">
      <c r="A786" s="6">
        <v>43441.936574074076</v>
      </c>
      <c r="B786" s="7" t="str">
        <f>HYPERLINK("https://twitter.com/Luisautonomo","@Luisautonomo")</f>
        <v>@Luisautonomo</v>
      </c>
      <c r="C786" s="8" t="s">
        <v>755</v>
      </c>
      <c r="D786" s="9" t="s">
        <v>4705</v>
      </c>
      <c r="E786" s="10" t="str">
        <f>HYPERLINK("https://twitter.com/Luisautonomo/status/1071154551821090819","1071154551821090819")</f>
        <v>1071154551821090819</v>
      </c>
      <c r="F786" s="18" t="s">
        <v>4706</v>
      </c>
      <c r="G786" s="12" t="s">
        <v>4707</v>
      </c>
      <c r="H786" s="11"/>
      <c r="I786" s="13">
        <v>1</v>
      </c>
      <c r="J786" s="13">
        <v>0</v>
      </c>
      <c r="K786" s="14" t="str">
        <f>HYPERLINK("http://twitter.com/download/android","Twitter for Android")</f>
        <v>Twitter for Android</v>
      </c>
      <c r="L786" s="13">
        <v>2754</v>
      </c>
      <c r="M786" s="13">
        <v>4942</v>
      </c>
      <c r="N786" s="13">
        <v>18</v>
      </c>
      <c r="O786" s="15"/>
      <c r="P786" s="6">
        <v>40364.825636574074</v>
      </c>
      <c r="Q786" s="11"/>
      <c r="R786" s="19" t="s">
        <v>762</v>
      </c>
      <c r="S786" s="11"/>
      <c r="T786" s="11"/>
      <c r="U786" s="10" t="str">
        <f>HYPERLINK("https://pbs.twimg.com/profile_images/695952968210870272/URjGToWM.jpg","View")</f>
        <v>View</v>
      </c>
    </row>
    <row r="787" spans="1:21" ht="20.399999999999999">
      <c r="A787" s="6">
        <v>43441.936539351853</v>
      </c>
      <c r="B787" s="7" t="str">
        <f>HYPERLINK("https://twitter.com/LAREVUELO53","@LAREVUELO53")</f>
        <v>@LAREVUELO53</v>
      </c>
      <c r="C787" s="8" t="s">
        <v>4694</v>
      </c>
      <c r="D787" s="9" t="s">
        <v>4708</v>
      </c>
      <c r="E787" s="10" t="str">
        <f>HYPERLINK("https://twitter.com/LAREVUELO53/status/1071154538416103424","1071154538416103424")</f>
        <v>1071154538416103424</v>
      </c>
      <c r="F787" s="12" t="s">
        <v>4709</v>
      </c>
      <c r="G787" s="11"/>
      <c r="H787" s="11"/>
      <c r="I787" s="13">
        <v>0</v>
      </c>
      <c r="J787" s="13">
        <v>0</v>
      </c>
      <c r="K787" s="14" t="str">
        <f t="shared" ref="K787:K788" si="154">HYPERLINK("http://twitter.com","Twitter Web Client")</f>
        <v>Twitter Web Client</v>
      </c>
      <c r="L787" s="13">
        <v>415</v>
      </c>
      <c r="M787" s="13">
        <v>1519</v>
      </c>
      <c r="N787" s="13">
        <v>4</v>
      </c>
      <c r="O787" s="15"/>
      <c r="P787" s="6">
        <v>40681.9059375</v>
      </c>
      <c r="Q787" s="18" t="s">
        <v>1637</v>
      </c>
      <c r="R787" s="17"/>
      <c r="S787" s="12" t="s">
        <v>4697</v>
      </c>
      <c r="T787" s="11"/>
      <c r="U787" s="10" t="str">
        <f>HYPERLINK("https://pbs.twimg.com/profile_images/719705597436960769/UB_JVe0J.jpg","View")</f>
        <v>View</v>
      </c>
    </row>
    <row r="788" spans="1:21" ht="30.6">
      <c r="A788" s="6">
        <v>43441.935277777782</v>
      </c>
      <c r="B788" s="7" t="str">
        <f>HYPERLINK("https://twitter.com/gaab75","@gaab75")</f>
        <v>@gaab75</v>
      </c>
      <c r="C788" s="8" t="s">
        <v>4710</v>
      </c>
      <c r="D788" s="9" t="s">
        <v>4711</v>
      </c>
      <c r="E788" s="10" t="str">
        <f>HYPERLINK("https://twitter.com/gaab75/status/1071154078745575424","1071154078745575424")</f>
        <v>1071154078745575424</v>
      </c>
      <c r="F788" s="11"/>
      <c r="G788" s="11"/>
      <c r="H788" s="11"/>
      <c r="I788" s="13">
        <v>2</v>
      </c>
      <c r="J788" s="13">
        <v>1</v>
      </c>
      <c r="K788" s="14" t="str">
        <f t="shared" si="154"/>
        <v>Twitter Web Client</v>
      </c>
      <c r="L788" s="13">
        <v>3602</v>
      </c>
      <c r="M788" s="13">
        <v>1550</v>
      </c>
      <c r="N788" s="13">
        <v>98</v>
      </c>
      <c r="O788" s="15"/>
      <c r="P788" s="6">
        <v>40128.955196759256</v>
      </c>
      <c r="Q788" s="18" t="s">
        <v>885</v>
      </c>
      <c r="R788" s="19" t="s">
        <v>4712</v>
      </c>
      <c r="S788" s="12" t="s">
        <v>4713</v>
      </c>
      <c r="T788" s="11"/>
      <c r="U788" s="10" t="str">
        <f>HYPERLINK("https://pbs.twimg.com/profile_images/958087622638948354/Nn7-v7sP.jpg","View")</f>
        <v>View</v>
      </c>
    </row>
    <row r="789" spans="1:21" ht="102">
      <c r="A789" s="6">
        <v>43441.934201388889</v>
      </c>
      <c r="B789" s="7" t="str">
        <f>HYPERLINK("https://twitter.com/KIKOTERR","@KIKOTERR")</f>
        <v>@KIKOTERR</v>
      </c>
      <c r="C789" s="8" t="s">
        <v>1496</v>
      </c>
      <c r="D789" s="9" t="s">
        <v>1497</v>
      </c>
      <c r="E789" s="10" t="str">
        <f>HYPERLINK("https://twitter.com/KIKOTERR/status/1071153689392492545","1071153689392492545")</f>
        <v>1071153689392492545</v>
      </c>
      <c r="F789" s="18" t="s">
        <v>552</v>
      </c>
      <c r="G789" s="11"/>
      <c r="H789" s="11"/>
      <c r="I789" s="13">
        <v>0</v>
      </c>
      <c r="J789" s="13">
        <v>0</v>
      </c>
      <c r="K789" s="14" t="str">
        <f>HYPERLINK("http://twitter.com/download/android","Twitter for Android")</f>
        <v>Twitter for Android</v>
      </c>
      <c r="L789" s="13">
        <v>82</v>
      </c>
      <c r="M789" s="13">
        <v>174</v>
      </c>
      <c r="N789" s="13">
        <v>1</v>
      </c>
      <c r="O789" s="15"/>
      <c r="P789" s="6">
        <v>41154.536863425928</v>
      </c>
      <c r="Q789" s="11"/>
      <c r="R789" s="17"/>
      <c r="S789" s="11"/>
      <c r="T789" s="11"/>
      <c r="U789" s="10" t="str">
        <f>HYPERLINK("https://pbs.twimg.com/profile_images/914462188911435778/yOM0h1u0.jpg","View")</f>
        <v>View</v>
      </c>
    </row>
    <row r="790" spans="1:21" ht="40.799999999999997">
      <c r="A790" s="6">
        <v>43441.932962962965</v>
      </c>
      <c r="B790" s="7" t="str">
        <f>HYPERLINK("https://twitter.com/oloraterra57","@oloraterra57")</f>
        <v>@oloraterra57</v>
      </c>
      <c r="C790" s="8" t="s">
        <v>4714</v>
      </c>
      <c r="D790" s="9" t="s">
        <v>3810</v>
      </c>
      <c r="E790" s="10" t="str">
        <f>HYPERLINK("https://twitter.com/oloraterra57/status/1071153241382158337","1071153241382158337")</f>
        <v>1071153241382158337</v>
      </c>
      <c r="F790" s="12" t="s">
        <v>3811</v>
      </c>
      <c r="G790" s="11"/>
      <c r="H790" s="11"/>
      <c r="I790" s="13">
        <v>0</v>
      </c>
      <c r="J790" s="13">
        <v>0</v>
      </c>
      <c r="K790" s="14" t="str">
        <f>HYPERLINK("https://www.google.com/","Google")</f>
        <v>Google</v>
      </c>
      <c r="L790" s="13">
        <v>556</v>
      </c>
      <c r="M790" s="13">
        <v>657</v>
      </c>
      <c r="N790" s="13">
        <v>9</v>
      </c>
      <c r="O790" s="15"/>
      <c r="P790" s="6">
        <v>41994.401932870373</v>
      </c>
      <c r="Q790" s="18" t="s">
        <v>4715</v>
      </c>
      <c r="R790" s="19" t="s">
        <v>4716</v>
      </c>
      <c r="S790" s="11"/>
      <c r="T790" s="11"/>
      <c r="U790" s="10" t="str">
        <f>HYPERLINK("https://pbs.twimg.com/profile_images/1065351514347225095/3cotBlQM.jpg","View")</f>
        <v>View</v>
      </c>
    </row>
    <row r="791" spans="1:21" ht="30.6">
      <c r="A791" s="6">
        <v>43441.932037037041</v>
      </c>
      <c r="B791" s="7" t="str">
        <f>HYPERLINK("https://twitter.com/Jiniguez82","@Jiniguez82")</f>
        <v>@Jiniguez82</v>
      </c>
      <c r="C791" s="8" t="s">
        <v>4717</v>
      </c>
      <c r="D791" s="9" t="s">
        <v>4718</v>
      </c>
      <c r="E791" s="10" t="str">
        <f>HYPERLINK("https://twitter.com/Jiniguez82/status/1071152904617295872","1071152904617295872")</f>
        <v>1071152904617295872</v>
      </c>
      <c r="F791" s="12" t="s">
        <v>4719</v>
      </c>
      <c r="G791" s="11"/>
      <c r="H791" s="11"/>
      <c r="I791" s="13">
        <v>0</v>
      </c>
      <c r="J791" s="13">
        <v>0</v>
      </c>
      <c r="K791" s="14" t="str">
        <f t="shared" ref="K791:K796" si="155">HYPERLINK("http://twitter.com/download/android","Twitter for Android")</f>
        <v>Twitter for Android</v>
      </c>
      <c r="L791" s="13">
        <v>195</v>
      </c>
      <c r="M791" s="13">
        <v>424</v>
      </c>
      <c r="N791" s="13">
        <v>26</v>
      </c>
      <c r="O791" s="15"/>
      <c r="P791" s="6">
        <v>40856.43241898148</v>
      </c>
      <c r="Q791" s="18" t="s">
        <v>4720</v>
      </c>
      <c r="R791" s="19" t="s">
        <v>4721</v>
      </c>
      <c r="S791" s="11"/>
      <c r="T791" s="11"/>
      <c r="U791" s="10" t="str">
        <f>HYPERLINK("https://pbs.twimg.com/profile_images/1051156517041377281/g32C4yDj.jpg","View")</f>
        <v>View</v>
      </c>
    </row>
    <row r="792" spans="1:21" ht="40.799999999999997">
      <c r="A792" s="6">
        <v>43441.931724537033</v>
      </c>
      <c r="B792" s="7" t="str">
        <f>HYPERLINK("https://twitter.com/Marty_0371","@Marty_0371")</f>
        <v>@Marty_0371</v>
      </c>
      <c r="C792" s="8" t="s">
        <v>4722</v>
      </c>
      <c r="D792" s="9" t="s">
        <v>4723</v>
      </c>
      <c r="E792" s="10" t="str">
        <f>HYPERLINK("https://twitter.com/Marty_0371/status/1071152793426239489","1071152793426239489")</f>
        <v>1071152793426239489</v>
      </c>
      <c r="F792" s="12" t="s">
        <v>4724</v>
      </c>
      <c r="G792" s="11"/>
      <c r="H792" s="11"/>
      <c r="I792" s="13">
        <v>0</v>
      </c>
      <c r="J792" s="13">
        <v>0</v>
      </c>
      <c r="K792" s="14" t="str">
        <f t="shared" si="155"/>
        <v>Twitter for Android</v>
      </c>
      <c r="L792" s="13">
        <v>469</v>
      </c>
      <c r="M792" s="13">
        <v>1308</v>
      </c>
      <c r="N792" s="13">
        <v>4</v>
      </c>
      <c r="O792" s="15"/>
      <c r="P792" s="6">
        <v>40504.529629629629</v>
      </c>
      <c r="Q792" s="18" t="s">
        <v>4310</v>
      </c>
      <c r="R792" s="19" t="s">
        <v>4725</v>
      </c>
      <c r="S792" s="12" t="s">
        <v>4726</v>
      </c>
      <c r="T792" s="11"/>
      <c r="U792" s="10" t="str">
        <f>HYPERLINK("https://pbs.twimg.com/profile_images/787348697738862592/sGLbhK5q.jpg","View")</f>
        <v>View</v>
      </c>
    </row>
    <row r="793" spans="1:21" ht="51">
      <c r="A793" s="6">
        <v>43441.931631944448</v>
      </c>
      <c r="B793" s="7" t="str">
        <f>HYPERLINK("https://twitter.com/OrbitaEduardo","@OrbitaEduardo")</f>
        <v>@OrbitaEduardo</v>
      </c>
      <c r="C793" s="8" t="s">
        <v>930</v>
      </c>
      <c r="D793" s="9" t="s">
        <v>4727</v>
      </c>
      <c r="E793" s="10" t="str">
        <f>HYPERLINK("https://twitter.com/OrbitaEduardo/status/1071152759477555201","1071152759477555201")</f>
        <v>1071152759477555201</v>
      </c>
      <c r="F793" s="11"/>
      <c r="G793" s="12" t="s">
        <v>4728</v>
      </c>
      <c r="H793" s="11"/>
      <c r="I793" s="13">
        <v>37</v>
      </c>
      <c r="J793" s="13">
        <v>38</v>
      </c>
      <c r="K793" s="14" t="str">
        <f t="shared" si="155"/>
        <v>Twitter for Android</v>
      </c>
      <c r="L793" s="13">
        <v>4523</v>
      </c>
      <c r="M793" s="13">
        <v>4948</v>
      </c>
      <c r="N793" s="13">
        <v>13</v>
      </c>
      <c r="O793" s="15"/>
      <c r="P793" s="6">
        <v>43110.374305555553</v>
      </c>
      <c r="Q793" s="18" t="s">
        <v>260</v>
      </c>
      <c r="R793" s="19" t="s">
        <v>935</v>
      </c>
      <c r="S793" s="11"/>
      <c r="T793" s="11"/>
      <c r="U793" s="10" t="str">
        <f>HYPERLINK("https://pbs.twimg.com/profile_images/1034013666600001538/MmqVJqFc.jpg","View")</f>
        <v>View</v>
      </c>
    </row>
    <row r="794" spans="1:21" ht="40.799999999999997">
      <c r="A794" s="6">
        <v>43441.930844907409</v>
      </c>
      <c r="B794" s="7" t="str">
        <f>HYPERLINK("https://twitter.com/uriahee","@uriahee")</f>
        <v>@uriahee</v>
      </c>
      <c r="C794" s="8" t="s">
        <v>4729</v>
      </c>
      <c r="D794" s="9" t="s">
        <v>4730</v>
      </c>
      <c r="E794" s="10" t="str">
        <f>HYPERLINK("https://twitter.com/uriahee/status/1071152473795117056","1071152473795117056")</f>
        <v>1071152473795117056</v>
      </c>
      <c r="F794" s="11"/>
      <c r="G794" s="12" t="s">
        <v>4731</v>
      </c>
      <c r="H794" s="11"/>
      <c r="I794" s="13">
        <v>0</v>
      </c>
      <c r="J794" s="13">
        <v>1</v>
      </c>
      <c r="K794" s="14" t="str">
        <f t="shared" si="155"/>
        <v>Twitter for Android</v>
      </c>
      <c r="L794" s="13">
        <v>1074</v>
      </c>
      <c r="M794" s="13">
        <v>1295</v>
      </c>
      <c r="N794" s="13">
        <v>0</v>
      </c>
      <c r="O794" s="15"/>
      <c r="P794" s="6">
        <v>43106.748472222222</v>
      </c>
      <c r="Q794" s="11"/>
      <c r="R794" s="19" t="s">
        <v>4732</v>
      </c>
      <c r="S794" s="11"/>
      <c r="T794" s="11"/>
      <c r="U794" s="10" t="str">
        <f>HYPERLINK("https://pbs.twimg.com/profile_images/1070668330716065793/AlYvtANJ.jpg","View")</f>
        <v>View</v>
      </c>
    </row>
    <row r="795" spans="1:21" ht="20.399999999999999">
      <c r="A795" s="6">
        <v>43441.93074074074</v>
      </c>
      <c r="B795" s="7" t="str">
        <f>HYPERLINK("https://twitter.com/TArmenteras","@TArmenteras")</f>
        <v>@TArmenteras</v>
      </c>
      <c r="C795" s="8" t="s">
        <v>4733</v>
      </c>
      <c r="D795" s="9" t="s">
        <v>4734</v>
      </c>
      <c r="E795" s="10" t="str">
        <f>HYPERLINK("https://twitter.com/TArmenteras/status/1071152437803798528","1071152437803798528")</f>
        <v>1071152437803798528</v>
      </c>
      <c r="F795" s="12" t="s">
        <v>4735</v>
      </c>
      <c r="G795" s="11"/>
      <c r="H795" s="11"/>
      <c r="I795" s="13">
        <v>0</v>
      </c>
      <c r="J795" s="13">
        <v>0</v>
      </c>
      <c r="K795" s="14" t="str">
        <f t="shared" si="155"/>
        <v>Twitter for Android</v>
      </c>
      <c r="L795" s="13">
        <v>36</v>
      </c>
      <c r="M795" s="13">
        <v>37</v>
      </c>
      <c r="N795" s="13">
        <v>0</v>
      </c>
      <c r="O795" s="15"/>
      <c r="P795" s="6">
        <v>41915.60527777778</v>
      </c>
      <c r="Q795" s="11"/>
      <c r="R795" s="17"/>
      <c r="S795" s="11"/>
      <c r="T795" s="11"/>
      <c r="U795" s="10" t="str">
        <f>HYPERLINK("https://pbs.twimg.com/profile_images/945290245255450624/48YRELwx.jpg","View")</f>
        <v>View</v>
      </c>
    </row>
    <row r="796" spans="1:21" ht="40.799999999999997">
      <c r="A796" s="6">
        <v>43441.930486111116</v>
      </c>
      <c r="B796" s="7" t="str">
        <f>HYPERLINK("https://twitter.com/Robustiano55","@Robustiano55")</f>
        <v>@Robustiano55</v>
      </c>
      <c r="C796" s="8" t="s">
        <v>4736</v>
      </c>
      <c r="D796" s="9" t="s">
        <v>4737</v>
      </c>
      <c r="E796" s="10" t="str">
        <f>HYPERLINK("https://twitter.com/Robustiano55/status/1071152342458908672","1071152342458908672")</f>
        <v>1071152342458908672</v>
      </c>
      <c r="F796" s="12" t="s">
        <v>2161</v>
      </c>
      <c r="G796" s="11"/>
      <c r="H796" s="11"/>
      <c r="I796" s="13">
        <v>3</v>
      </c>
      <c r="J796" s="13">
        <v>8</v>
      </c>
      <c r="K796" s="14" t="str">
        <f t="shared" si="155"/>
        <v>Twitter for Android</v>
      </c>
      <c r="L796" s="13">
        <v>5369</v>
      </c>
      <c r="M796" s="13">
        <v>4662</v>
      </c>
      <c r="N796" s="13">
        <v>9</v>
      </c>
      <c r="O796" s="15"/>
      <c r="P796" s="6">
        <v>43003.836793981478</v>
      </c>
      <c r="Q796" s="18" t="s">
        <v>42</v>
      </c>
      <c r="R796" s="19" t="s">
        <v>4738</v>
      </c>
      <c r="S796" s="11"/>
      <c r="T796" s="11"/>
      <c r="U796" s="10" t="str">
        <f>HYPERLINK("https://pbs.twimg.com/profile_images/1014190070520303616/KqehRa3U.jpg","View")</f>
        <v>View</v>
      </c>
    </row>
    <row r="797" spans="1:21" ht="30.6">
      <c r="A797" s="6">
        <v>43441.930428240739</v>
      </c>
      <c r="B797" s="7" t="str">
        <f>HYPERLINK("https://twitter.com/Felisuco81","@Felisuco81")</f>
        <v>@Felisuco81</v>
      </c>
      <c r="C797" s="8" t="s">
        <v>4400</v>
      </c>
      <c r="D797" s="9" t="s">
        <v>834</v>
      </c>
      <c r="E797" s="10" t="str">
        <f>HYPERLINK("https://twitter.com/Felisuco81/status/1071152321172774912","1071152321172774912")</f>
        <v>1071152321172774912</v>
      </c>
      <c r="F797" s="12" t="s">
        <v>899</v>
      </c>
      <c r="G797" s="11"/>
      <c r="H797" s="11"/>
      <c r="I797" s="13">
        <v>0</v>
      </c>
      <c r="J797" s="13">
        <v>0</v>
      </c>
      <c r="K797" s="14" t="str">
        <f>HYPERLINK("http://twitter.com","Twitter Web Client")</f>
        <v>Twitter Web Client</v>
      </c>
      <c r="L797" s="13">
        <v>64</v>
      </c>
      <c r="M797" s="13">
        <v>153</v>
      </c>
      <c r="N797" s="13">
        <v>0</v>
      </c>
      <c r="O797" s="15"/>
      <c r="P797" s="6">
        <v>43035.943402777775</v>
      </c>
      <c r="Q797" s="18" t="s">
        <v>42</v>
      </c>
      <c r="R797" s="19" t="s">
        <v>4406</v>
      </c>
      <c r="S797" s="11"/>
      <c r="T797" s="11"/>
      <c r="U797" s="10" t="str">
        <f>HYPERLINK("https://pbs.twimg.com/profile_images/924015975917408256/7Xk8GnkW.jpg","View")</f>
        <v>View</v>
      </c>
    </row>
    <row r="798" spans="1:21" ht="71.400000000000006">
      <c r="A798" s="6">
        <v>43441.9296875</v>
      </c>
      <c r="B798" s="7" t="str">
        <f>HYPERLINK("https://twitter.com/EdificadosenEl","@EdificadosenEl")</f>
        <v>@EdificadosenEl</v>
      </c>
      <c r="C798" s="8" t="s">
        <v>4739</v>
      </c>
      <c r="D798" s="9" t="s">
        <v>4740</v>
      </c>
      <c r="E798" s="10" t="str">
        <f>HYPERLINK("https://twitter.com/EdificadosenEl/status/1071152054855450625","1071152054855450625")</f>
        <v>1071152054855450625</v>
      </c>
      <c r="F798" s="18" t="s">
        <v>4741</v>
      </c>
      <c r="G798" s="11"/>
      <c r="H798" s="11"/>
      <c r="I798" s="13">
        <v>1</v>
      </c>
      <c r="J798" s="13">
        <v>0</v>
      </c>
      <c r="K798" s="14" t="str">
        <f t="shared" ref="K798:K799" si="156">HYPERLINK("http://twitter.com/download/android","Twitter for Android")</f>
        <v>Twitter for Android</v>
      </c>
      <c r="L798" s="13">
        <v>32</v>
      </c>
      <c r="M798" s="13">
        <v>84</v>
      </c>
      <c r="N798" s="13">
        <v>1</v>
      </c>
      <c r="O798" s="15"/>
      <c r="P798" s="6">
        <v>43259.915497685186</v>
      </c>
      <c r="Q798" s="18" t="s">
        <v>4742</v>
      </c>
      <c r="R798" s="19" t="s">
        <v>4743</v>
      </c>
      <c r="S798" s="11"/>
      <c r="T798" s="11"/>
      <c r="U798" s="10" t="str">
        <f>HYPERLINK("https://pbs.twimg.com/profile_images/1062507055892836352/iYw4FUql.jpg","View")</f>
        <v>View</v>
      </c>
    </row>
    <row r="799" spans="1:21" ht="51">
      <c r="A799" s="6">
        <v>43441.929456018523</v>
      </c>
      <c r="B799" s="7" t="str">
        <f>HYPERLINK("https://twitter.com/Fsmariajose","@Fsmariajose")</f>
        <v>@Fsmariajose</v>
      </c>
      <c r="C799" s="8" t="s">
        <v>4744</v>
      </c>
      <c r="D799" s="9" t="s">
        <v>4745</v>
      </c>
      <c r="E799" s="10" t="str">
        <f>HYPERLINK("https://twitter.com/Fsmariajose/status/1071151969929191424","1071151969929191424")</f>
        <v>1071151969929191424</v>
      </c>
      <c r="F799" s="11"/>
      <c r="G799" s="11"/>
      <c r="H799" s="11"/>
      <c r="I799" s="13">
        <v>0</v>
      </c>
      <c r="J799" s="13">
        <v>3</v>
      </c>
      <c r="K799" s="14" t="str">
        <f t="shared" si="156"/>
        <v>Twitter for Android</v>
      </c>
      <c r="L799" s="13">
        <v>400</v>
      </c>
      <c r="M799" s="13">
        <v>731</v>
      </c>
      <c r="N799" s="13">
        <v>5</v>
      </c>
      <c r="O799" s="15"/>
      <c r="P799" s="6">
        <v>41823.984988425924</v>
      </c>
      <c r="Q799" s="11"/>
      <c r="R799" s="19" t="s">
        <v>4746</v>
      </c>
      <c r="S799" s="11"/>
      <c r="T799" s="11"/>
      <c r="U799" s="10" t="str">
        <f>HYPERLINK("https://pbs.twimg.com/profile_images/834801511247011841/7yfaevVi.jpg","View")</f>
        <v>View</v>
      </c>
    </row>
    <row r="800" spans="1:21" ht="30.6">
      <c r="A800" s="6">
        <v>43441.928576388891</v>
      </c>
      <c r="B800" s="7" t="str">
        <f>HYPERLINK("https://twitter.com/FrancaDominguez","@FrancaDominguez")</f>
        <v>@FrancaDominguez</v>
      </c>
      <c r="C800" s="8" t="s">
        <v>4747</v>
      </c>
      <c r="D800" s="9" t="s">
        <v>1152</v>
      </c>
      <c r="E800" s="10" t="str">
        <f>HYPERLINK("https://twitter.com/FrancaDominguez/status/1071151651409592327","1071151651409592327")</f>
        <v>1071151651409592327</v>
      </c>
      <c r="F800" s="12" t="s">
        <v>4748</v>
      </c>
      <c r="G800" s="11"/>
      <c r="H800" s="11"/>
      <c r="I800" s="13">
        <v>0</v>
      </c>
      <c r="J800" s="13">
        <v>0</v>
      </c>
      <c r="K800" s="14" t="str">
        <f>HYPERLINK("http://twitter.com","Twitter Web Client")</f>
        <v>Twitter Web Client</v>
      </c>
      <c r="L800" s="13">
        <v>786</v>
      </c>
      <c r="M800" s="13">
        <v>1069</v>
      </c>
      <c r="N800" s="13">
        <v>11</v>
      </c>
      <c r="O800" s="15"/>
      <c r="P800" s="6">
        <v>41479.243391203701</v>
      </c>
      <c r="Q800" s="18" t="s">
        <v>4749</v>
      </c>
      <c r="R800" s="19" t="s">
        <v>4750</v>
      </c>
      <c r="S800" s="11"/>
      <c r="T800" s="11"/>
      <c r="U800" s="10" t="str">
        <f>HYPERLINK("https://pbs.twimg.com/profile_images/746503355799838721/yGN178Z7.jpg","View")</f>
        <v>View</v>
      </c>
    </row>
    <row r="801" spans="1:21" ht="30.6">
      <c r="A801" s="6">
        <v>43441.926979166667</v>
      </c>
      <c r="B801" s="7" t="str">
        <f>HYPERLINK("https://twitter.com/LaurenArenos","@LaurenArenos")</f>
        <v>@LaurenArenos</v>
      </c>
      <c r="C801" s="8" t="s">
        <v>2488</v>
      </c>
      <c r="D801" s="9" t="s">
        <v>4751</v>
      </c>
      <c r="E801" s="10" t="str">
        <f>HYPERLINK("https://twitter.com/LaurenArenos/status/1071151072494919680","1071151072494919680")</f>
        <v>1071151072494919680</v>
      </c>
      <c r="F801" s="12" t="s">
        <v>899</v>
      </c>
      <c r="G801" s="11"/>
      <c r="H801" s="11"/>
      <c r="I801" s="13">
        <v>1</v>
      </c>
      <c r="J801" s="13">
        <v>2</v>
      </c>
      <c r="K801" s="14" t="str">
        <f t="shared" ref="K801:K802" si="157">HYPERLINK("http://twitter.com/download/android","Twitter for Android")</f>
        <v>Twitter for Android</v>
      </c>
      <c r="L801" s="13">
        <v>874</v>
      </c>
      <c r="M801" s="13">
        <v>1242</v>
      </c>
      <c r="N801" s="13">
        <v>0</v>
      </c>
      <c r="O801" s="15"/>
      <c r="P801" s="6">
        <v>43268.977326388893</v>
      </c>
      <c r="Q801" s="11"/>
      <c r="R801" s="19" t="s">
        <v>2493</v>
      </c>
      <c r="S801" s="11"/>
      <c r="T801" s="11"/>
      <c r="U801" s="10" t="str">
        <f>HYPERLINK("https://pbs.twimg.com/profile_images/1008462268663828480/RBvgbkmL.jpg","View")</f>
        <v>View</v>
      </c>
    </row>
    <row r="802" spans="1:21" ht="30.6">
      <c r="A802" s="6">
        <v>43441.926030092596</v>
      </c>
      <c r="B802" s="7" t="str">
        <f>HYPERLINK("https://twitter.com/Marty_0371","@Marty_0371")</f>
        <v>@Marty_0371</v>
      </c>
      <c r="C802" s="8" t="s">
        <v>4722</v>
      </c>
      <c r="D802" s="9" t="s">
        <v>4752</v>
      </c>
      <c r="E802" s="10" t="str">
        <f>HYPERLINK("https://twitter.com/Marty_0371/status/1071150730499772418","1071150730499772418")</f>
        <v>1071150730499772418</v>
      </c>
      <c r="F802" s="12" t="s">
        <v>4753</v>
      </c>
      <c r="G802" s="11"/>
      <c r="H802" s="11"/>
      <c r="I802" s="13">
        <v>0</v>
      </c>
      <c r="J802" s="13">
        <v>0</v>
      </c>
      <c r="K802" s="14" t="str">
        <f t="shared" si="157"/>
        <v>Twitter for Android</v>
      </c>
      <c r="L802" s="13">
        <v>469</v>
      </c>
      <c r="M802" s="13">
        <v>1308</v>
      </c>
      <c r="N802" s="13">
        <v>4</v>
      </c>
      <c r="O802" s="15"/>
      <c r="P802" s="6">
        <v>40504.529629629629</v>
      </c>
      <c r="Q802" s="18" t="s">
        <v>4310</v>
      </c>
      <c r="R802" s="19" t="s">
        <v>4725</v>
      </c>
      <c r="S802" s="12" t="s">
        <v>4726</v>
      </c>
      <c r="T802" s="11"/>
      <c r="U802" s="10" t="str">
        <f>HYPERLINK("https://pbs.twimg.com/profile_images/787348697738862592/sGLbhK5q.jpg","View")</f>
        <v>View</v>
      </c>
    </row>
    <row r="803" spans="1:21" ht="122.4">
      <c r="A803" s="6">
        <v>43441.924375000002</v>
      </c>
      <c r="B803" s="7" t="str">
        <f>HYPERLINK("https://twitter.com/DtpJavier","@DtpJavier")</f>
        <v>@DtpJavier</v>
      </c>
      <c r="C803" s="8" t="s">
        <v>1498</v>
      </c>
      <c r="D803" s="9" t="s">
        <v>1499</v>
      </c>
      <c r="E803" s="10" t="str">
        <f>HYPERLINK("https://twitter.com/DtpJavier/status/1071150130059993088","1071150130059993088")</f>
        <v>1071150130059993088</v>
      </c>
      <c r="F803" s="12" t="s">
        <v>1500</v>
      </c>
      <c r="G803" s="12" t="s">
        <v>1501</v>
      </c>
      <c r="H803" s="11"/>
      <c r="I803" s="13">
        <v>0</v>
      </c>
      <c r="J803" s="13">
        <v>1</v>
      </c>
      <c r="K803" s="14" t="str">
        <f>HYPERLINK("http://twitter.com/download/iphone","Twitter for iPhone")</f>
        <v>Twitter for iPhone</v>
      </c>
      <c r="L803" s="13">
        <v>1133</v>
      </c>
      <c r="M803" s="13">
        <v>2566</v>
      </c>
      <c r="N803" s="13">
        <v>10</v>
      </c>
      <c r="O803" s="15"/>
      <c r="P803" s="6">
        <v>41690.694131944445</v>
      </c>
      <c r="Q803" s="18" t="s">
        <v>1502</v>
      </c>
      <c r="R803" s="19" t="s">
        <v>1503</v>
      </c>
      <c r="S803" s="11"/>
      <c r="T803" s="11"/>
      <c r="U803" s="10" t="str">
        <f>HYPERLINK("https://pbs.twimg.com/profile_images/437038164969283584/cwkmDOn8.jpeg","View")</f>
        <v>View</v>
      </c>
    </row>
    <row r="804" spans="1:21" ht="30.6">
      <c r="A804" s="6">
        <v>43441.924293981487</v>
      </c>
      <c r="B804" s="7" t="str">
        <f>HYPERLINK("https://twitter.com/Ximena_Palacios","@Ximena_Palacios")</f>
        <v>@Ximena_Palacios</v>
      </c>
      <c r="C804" s="8" t="s">
        <v>4754</v>
      </c>
      <c r="D804" s="9" t="s">
        <v>4755</v>
      </c>
      <c r="E804" s="10" t="str">
        <f>HYPERLINK("https://twitter.com/Ximena_Palacios/status/1071150101266132992","1071150101266132992")</f>
        <v>1071150101266132992</v>
      </c>
      <c r="F804" s="12" t="s">
        <v>4756</v>
      </c>
      <c r="G804" s="11"/>
      <c r="H804" s="11"/>
      <c r="I804" s="13">
        <v>0</v>
      </c>
      <c r="J804" s="13">
        <v>0</v>
      </c>
      <c r="K804" s="14" t="str">
        <f>HYPERLINK("http://www.facebook.com/twitter","Facebook")</f>
        <v>Facebook</v>
      </c>
      <c r="L804" s="13">
        <v>339</v>
      </c>
      <c r="M804" s="13">
        <v>275</v>
      </c>
      <c r="N804" s="13">
        <v>7</v>
      </c>
      <c r="O804" s="15"/>
      <c r="P804" s="6">
        <v>40713.921180555553</v>
      </c>
      <c r="Q804" s="18" t="s">
        <v>4757</v>
      </c>
      <c r="R804" s="19" t="s">
        <v>4758</v>
      </c>
      <c r="S804" s="12" t="s">
        <v>4759</v>
      </c>
      <c r="T804" s="11"/>
      <c r="U804" s="10" t="str">
        <f>HYPERLINK("https://pbs.twimg.com/profile_images/2282173144/rviyo9ixfags2itx0jsl.jpeg","View")</f>
        <v>View</v>
      </c>
    </row>
    <row r="805" spans="1:21" ht="20.399999999999999">
      <c r="A805" s="6">
        <v>43441.924212962964</v>
      </c>
      <c r="B805" s="7" t="str">
        <f>HYPERLINK("https://twitter.com/LAREVUELO53","@LAREVUELO53")</f>
        <v>@LAREVUELO53</v>
      </c>
      <c r="C805" s="8" t="s">
        <v>4694</v>
      </c>
      <c r="D805" s="9" t="s">
        <v>4760</v>
      </c>
      <c r="E805" s="10" t="str">
        <f>HYPERLINK("https://twitter.com/LAREVUELO53/status/1071150069880115200","1071150069880115200")</f>
        <v>1071150069880115200</v>
      </c>
      <c r="F805" s="12" t="s">
        <v>4761</v>
      </c>
      <c r="G805" s="11"/>
      <c r="H805" s="11"/>
      <c r="I805" s="13">
        <v>0</v>
      </c>
      <c r="J805" s="13">
        <v>0</v>
      </c>
      <c r="K805" s="14" t="str">
        <f>HYPERLINK("http://twitter.com","Twitter Web Client")</f>
        <v>Twitter Web Client</v>
      </c>
      <c r="L805" s="13">
        <v>415</v>
      </c>
      <c r="M805" s="13">
        <v>1519</v>
      </c>
      <c r="N805" s="13">
        <v>4</v>
      </c>
      <c r="O805" s="15"/>
      <c r="P805" s="6">
        <v>40681.9059375</v>
      </c>
      <c r="Q805" s="18" t="s">
        <v>1637</v>
      </c>
      <c r="R805" s="17"/>
      <c r="S805" s="12" t="s">
        <v>4697</v>
      </c>
      <c r="T805" s="11"/>
      <c r="U805" s="10" t="str">
        <f>HYPERLINK("https://pbs.twimg.com/profile_images/719705597436960769/UB_JVe0J.jpg","View")</f>
        <v>View</v>
      </c>
    </row>
    <row r="806" spans="1:21" ht="51">
      <c r="A806" s="6">
        <v>43441.924016203702</v>
      </c>
      <c r="B806" s="7" t="str">
        <f>HYPERLINK("https://twitter.com/UGT_ILUNION_OUT","@UGT_ILUNION_OUT")</f>
        <v>@UGT_ILUNION_OUT</v>
      </c>
      <c r="C806" s="8" t="s">
        <v>4762</v>
      </c>
      <c r="D806" s="9" t="s">
        <v>4763</v>
      </c>
      <c r="E806" s="10" t="str">
        <f>HYPERLINK("https://twitter.com/UGT_ILUNION_OUT/status/1071150001001299968","1071150001001299968")</f>
        <v>1071150001001299968</v>
      </c>
      <c r="F806" s="11"/>
      <c r="G806" s="12" t="s">
        <v>4764</v>
      </c>
      <c r="H806" s="11"/>
      <c r="I806" s="13">
        <v>7</v>
      </c>
      <c r="J806" s="13">
        <v>8</v>
      </c>
      <c r="K806" s="14" t="str">
        <f>HYPERLINK("http://twitter.com/download/iphone","Twitter for iPhone")</f>
        <v>Twitter for iPhone</v>
      </c>
      <c r="L806" s="13">
        <v>627</v>
      </c>
      <c r="M806" s="13">
        <v>549</v>
      </c>
      <c r="N806" s="13">
        <v>18</v>
      </c>
      <c r="O806" s="15"/>
      <c r="P806" s="6">
        <v>41245.744953703703</v>
      </c>
      <c r="Q806" s="18" t="s">
        <v>42</v>
      </c>
      <c r="R806" s="19" t="s">
        <v>4765</v>
      </c>
      <c r="S806" s="12" t="s">
        <v>4766</v>
      </c>
      <c r="T806" s="11"/>
      <c r="U806" s="10" t="str">
        <f>HYPERLINK("https://pbs.twimg.com/profile_images/1031474017197277184/Tn9aqcKD.jpg","View")</f>
        <v>View</v>
      </c>
    </row>
    <row r="807" spans="1:21" ht="20.399999999999999">
      <c r="A807" s="6">
        <v>43441.923611111109</v>
      </c>
      <c r="B807" s="7" t="str">
        <f>HYPERLINK("https://twitter.com/A3Noticias","@A3Noticias")</f>
        <v>@A3Noticias</v>
      </c>
      <c r="C807" s="8" t="s">
        <v>3827</v>
      </c>
      <c r="D807" s="9" t="s">
        <v>3597</v>
      </c>
      <c r="E807" s="10" t="str">
        <f>HYPERLINK("https://twitter.com/A3Noticias/status/1071149852195573760","1071149852195573760")</f>
        <v>1071149852195573760</v>
      </c>
      <c r="F807" s="12" t="s">
        <v>4767</v>
      </c>
      <c r="G807" s="11"/>
      <c r="H807" s="11"/>
      <c r="I807" s="13">
        <v>15</v>
      </c>
      <c r="J807" s="13">
        <v>25</v>
      </c>
      <c r="K807" s="14" t="str">
        <f>HYPERLINK("http://dogtrack.es","DogTrack_Oficial")</f>
        <v>DogTrack_Oficial</v>
      </c>
      <c r="L807" s="13">
        <v>1723922</v>
      </c>
      <c r="M807" s="13">
        <v>407</v>
      </c>
      <c r="N807" s="13">
        <v>8116</v>
      </c>
      <c r="O807" s="16" t="s">
        <v>25</v>
      </c>
      <c r="P807" s="6">
        <v>40318.523495370369</v>
      </c>
      <c r="Q807" s="11"/>
      <c r="R807" s="19" t="s">
        <v>3832</v>
      </c>
      <c r="S807" s="12" t="s">
        <v>3833</v>
      </c>
      <c r="T807" s="11"/>
      <c r="U807" s="10" t="str">
        <f>HYPERLINK("https://pbs.twimg.com/profile_images/1047424467411107840/znEO0bjJ.jpg","View")</f>
        <v>View</v>
      </c>
    </row>
    <row r="808" spans="1:21" ht="51">
      <c r="A808" s="6">
        <v>43441.922418981485</v>
      </c>
      <c r="B808" s="7" t="str">
        <f>HYPERLINK("https://twitter.com/Gus__Vik","@Gus__Vik")</f>
        <v>@Gus__Vik</v>
      </c>
      <c r="C808" s="8" t="s">
        <v>630</v>
      </c>
      <c r="D808" s="9" t="s">
        <v>1505</v>
      </c>
      <c r="E808" s="10" t="str">
        <f>HYPERLINK("https://twitter.com/Gus__Vik/status/1071149419167408128","1071149419167408128")</f>
        <v>1071149419167408128</v>
      </c>
      <c r="F808" s="12" t="s">
        <v>1506</v>
      </c>
      <c r="G808" s="11"/>
      <c r="H808" s="11"/>
      <c r="I808" s="13">
        <v>0</v>
      </c>
      <c r="J808" s="13">
        <v>2</v>
      </c>
      <c r="K808" s="14" t="str">
        <f>HYPERLINK("http://twitter.com/download/android","Twitter for Android")</f>
        <v>Twitter for Android</v>
      </c>
      <c r="L808" s="13">
        <v>1157</v>
      </c>
      <c r="M808" s="13">
        <v>980</v>
      </c>
      <c r="N808" s="13">
        <v>15</v>
      </c>
      <c r="O808" s="15"/>
      <c r="P808" s="6">
        <v>40666.461284722223</v>
      </c>
      <c r="Q808" s="11"/>
      <c r="R808" s="17"/>
      <c r="S808" s="11"/>
      <c r="T808" s="11"/>
      <c r="U808" s="10" t="str">
        <f>HYPERLINK("https://pbs.twimg.com/profile_images/1060304776649433089/7Cnn7Jpp.jpg","View")</f>
        <v>View</v>
      </c>
    </row>
    <row r="809" spans="1:21" ht="40.799999999999997">
      <c r="A809" s="6">
        <v>43441.9221875</v>
      </c>
      <c r="B809" s="7" t="str">
        <f>HYPERLINK("https://twitter.com/margpuig","@margpuig")</f>
        <v>@margpuig</v>
      </c>
      <c r="C809" s="8" t="s">
        <v>1509</v>
      </c>
      <c r="D809" s="9" t="s">
        <v>1511</v>
      </c>
      <c r="E809" s="10" t="str">
        <f>HYPERLINK("https://twitter.com/margpuig/status/1071149337466540033","1071149337466540033")</f>
        <v>1071149337466540033</v>
      </c>
      <c r="F809" s="12" t="s">
        <v>1512</v>
      </c>
      <c r="G809" s="11"/>
      <c r="H809" s="11"/>
      <c r="I809" s="13">
        <v>0</v>
      </c>
      <c r="J809" s="13">
        <v>4</v>
      </c>
      <c r="K809" s="14" t="str">
        <f>HYPERLINK("http://twitter.com","Twitter Web Client")</f>
        <v>Twitter Web Client</v>
      </c>
      <c r="L809" s="13">
        <v>3041</v>
      </c>
      <c r="M809" s="13">
        <v>1776</v>
      </c>
      <c r="N809" s="13">
        <v>74</v>
      </c>
      <c r="O809" s="16" t="s">
        <v>25</v>
      </c>
      <c r="P809" s="6">
        <v>41987.9215162037</v>
      </c>
      <c r="Q809" s="18" t="s">
        <v>1325</v>
      </c>
      <c r="R809" s="19" t="s">
        <v>1514</v>
      </c>
      <c r="S809" s="11"/>
      <c r="T809" s="11"/>
      <c r="U809" s="10" t="str">
        <f>HYPERLINK("https://pbs.twimg.com/profile_images/905417042777559041/JLt809c6.jpg","View")</f>
        <v>View</v>
      </c>
    </row>
    <row r="810" spans="1:21" ht="51">
      <c r="A810" s="6">
        <v>43441.921875</v>
      </c>
      <c r="B810" s="7" t="str">
        <f>HYPERLINK("https://twitter.com/nikki_niurka","@nikki_niurka")</f>
        <v>@nikki_niurka</v>
      </c>
      <c r="C810" s="8" t="s">
        <v>4768</v>
      </c>
      <c r="D810" s="9" t="s">
        <v>4769</v>
      </c>
      <c r="E810" s="10" t="str">
        <f>HYPERLINK("https://twitter.com/nikki_niurka/status/1071149223855513601","1071149223855513601")</f>
        <v>1071149223855513601</v>
      </c>
      <c r="F810" s="11"/>
      <c r="G810" s="11"/>
      <c r="H810" s="11"/>
      <c r="I810" s="13">
        <v>1</v>
      </c>
      <c r="J810" s="13">
        <v>1</v>
      </c>
      <c r="K810" s="14" t="str">
        <f>HYPERLINK("http://twitter.com/#!/download/ipad","Twitter for iPad")</f>
        <v>Twitter for iPad</v>
      </c>
      <c r="L810" s="13">
        <v>35</v>
      </c>
      <c r="M810" s="13">
        <v>32</v>
      </c>
      <c r="N810" s="13">
        <v>0</v>
      </c>
      <c r="O810" s="15"/>
      <c r="P810" s="6">
        <v>42253.00503472222</v>
      </c>
      <c r="Q810" s="11"/>
      <c r="R810" s="17"/>
      <c r="S810" s="11"/>
      <c r="T810" s="11"/>
      <c r="U810" s="10" t="str">
        <f>HYPERLINK("https://pbs.twimg.com/profile_images/640285497013739521/kKWDxZHW.jpg","View")</f>
        <v>View</v>
      </c>
    </row>
    <row r="811" spans="1:21" ht="30.6">
      <c r="A811" s="6">
        <v>43441.918888888889</v>
      </c>
      <c r="B811" s="7" t="str">
        <f>HYPERLINK("https://twitter.com/paquixu","@paquixu")</f>
        <v>@paquixu</v>
      </c>
      <c r="C811" s="8" t="s">
        <v>4770</v>
      </c>
      <c r="D811" s="9" t="s">
        <v>4771</v>
      </c>
      <c r="E811" s="10" t="str">
        <f>HYPERLINK("https://twitter.com/paquixu/status/1071148139791466506","1071148139791466506")</f>
        <v>1071148139791466506</v>
      </c>
      <c r="F811" s="11"/>
      <c r="G811" s="11"/>
      <c r="H811" s="11"/>
      <c r="I811" s="13">
        <v>0</v>
      </c>
      <c r="J811" s="13">
        <v>0</v>
      </c>
      <c r="K811" s="14" t="str">
        <f>HYPERLINK("http://twitter.com/download/android","Twitter for Android")</f>
        <v>Twitter for Android</v>
      </c>
      <c r="L811" s="13">
        <v>25</v>
      </c>
      <c r="M811" s="13">
        <v>93</v>
      </c>
      <c r="N811" s="13">
        <v>0</v>
      </c>
      <c r="O811" s="15"/>
      <c r="P811" s="6">
        <v>42077.519953703704</v>
      </c>
      <c r="Q811" s="18" t="s">
        <v>2514</v>
      </c>
      <c r="R811" s="19" t="s">
        <v>4772</v>
      </c>
      <c r="S811" s="11"/>
      <c r="T811" s="11"/>
      <c r="U811" s="10" t="str">
        <f>HYPERLINK("https://pbs.twimg.com/profile_images/1071168511651799041/jwQaoxqC.jpg","View")</f>
        <v>View</v>
      </c>
    </row>
    <row r="812" spans="1:21" ht="71.400000000000006">
      <c r="A812" s="6">
        <v>43441.91778935185</v>
      </c>
      <c r="B812" s="7" t="str">
        <f>HYPERLINK("https://twitter.com/solidatus","@solidatus")</f>
        <v>@solidatus</v>
      </c>
      <c r="C812" s="8" t="s">
        <v>4773</v>
      </c>
      <c r="D812" s="9" t="s">
        <v>4774</v>
      </c>
      <c r="E812" s="10" t="str">
        <f>HYPERLINK("https://twitter.com/solidatus/status/1071147741500325889","1071147741500325889")</f>
        <v>1071147741500325889</v>
      </c>
      <c r="F812" s="12" t="s">
        <v>4775</v>
      </c>
      <c r="G812" s="12" t="s">
        <v>1161</v>
      </c>
      <c r="H812" s="11"/>
      <c r="I812" s="13">
        <v>1</v>
      </c>
      <c r="J812" s="13">
        <v>0</v>
      </c>
      <c r="K812" s="14" t="str">
        <f>HYPERLINK("http://twitter.com/download/iphone","Twitter for iPhone")</f>
        <v>Twitter for iPhone</v>
      </c>
      <c r="L812" s="13">
        <v>870</v>
      </c>
      <c r="M812" s="13">
        <v>850</v>
      </c>
      <c r="N812" s="13">
        <v>7</v>
      </c>
      <c r="O812" s="15"/>
      <c r="P812" s="6">
        <v>41434.634432870371</v>
      </c>
      <c r="Q812" s="18" t="s">
        <v>42</v>
      </c>
      <c r="R812" s="19" t="s">
        <v>4776</v>
      </c>
      <c r="S812" s="12" t="s">
        <v>4777</v>
      </c>
      <c r="T812" s="11"/>
      <c r="U812" s="10" t="str">
        <f>HYPERLINK("https://pbs.twimg.com/profile_images/1043606398058283008/4sDcdbPz.jpg","View")</f>
        <v>View</v>
      </c>
    </row>
    <row r="813" spans="1:21" ht="51">
      <c r="A813" s="6">
        <v>43441.917638888888</v>
      </c>
      <c r="B813" s="7" t="str">
        <f>HYPERLINK("https://twitter.com/anonimo0410","@anonimo0410")</f>
        <v>@anonimo0410</v>
      </c>
      <c r="C813" s="8" t="s">
        <v>1516</v>
      </c>
      <c r="D813" s="9" t="s">
        <v>1517</v>
      </c>
      <c r="E813" s="10" t="str">
        <f>HYPERLINK("https://twitter.com/anonimo0410/status/1071147687528095749","1071147687528095749")</f>
        <v>1071147687528095749</v>
      </c>
      <c r="F813" s="11"/>
      <c r="G813" s="12" t="s">
        <v>1518</v>
      </c>
      <c r="H813" s="11"/>
      <c r="I813" s="13">
        <v>1</v>
      </c>
      <c r="J813" s="13">
        <v>1</v>
      </c>
      <c r="K813" s="14" t="str">
        <f>HYPERLINK("http://twitter.com","Twitter Web Client")</f>
        <v>Twitter Web Client</v>
      </c>
      <c r="L813" s="13">
        <v>1206</v>
      </c>
      <c r="M813" s="13">
        <v>1855</v>
      </c>
      <c r="N813" s="13">
        <v>9</v>
      </c>
      <c r="O813" s="15"/>
      <c r="P813" s="6">
        <v>40934.577893518523</v>
      </c>
      <c r="Q813" s="11"/>
      <c r="R813" s="19" t="s">
        <v>1519</v>
      </c>
      <c r="S813" s="11"/>
      <c r="T813" s="11"/>
      <c r="U813" s="10" t="str">
        <f>HYPERLINK("https://pbs.twimg.com/profile_images/1013769613467897856/nMKSBxVG.jpg","View")</f>
        <v>View</v>
      </c>
    </row>
    <row r="814" spans="1:21" ht="20.399999999999999">
      <c r="A814" s="6">
        <v>43441.913356481484</v>
      </c>
      <c r="B814" s="7" t="str">
        <f>HYPERLINK("https://twitter.com/Nessalveniz","@Nessalveniz")</f>
        <v>@Nessalveniz</v>
      </c>
      <c r="C814" s="8" t="s">
        <v>4779</v>
      </c>
      <c r="D814" s="9" t="s">
        <v>4780</v>
      </c>
      <c r="E814" s="10" t="str">
        <f>HYPERLINK("https://twitter.com/Nessalveniz/status/1071146137057280000","1071146137057280000")</f>
        <v>1071146137057280000</v>
      </c>
      <c r="F814" s="12" t="s">
        <v>4781</v>
      </c>
      <c r="G814" s="11"/>
      <c r="H814" s="11"/>
      <c r="I814" s="13">
        <v>0</v>
      </c>
      <c r="J814" s="13">
        <v>0</v>
      </c>
      <c r="K814" s="14" t="str">
        <f>HYPERLINK("https://www.google.com/","Google")</f>
        <v>Google</v>
      </c>
      <c r="L814" s="13">
        <v>32</v>
      </c>
      <c r="M814" s="13">
        <v>246</v>
      </c>
      <c r="N814" s="13">
        <v>0</v>
      </c>
      <c r="O814" s="15"/>
      <c r="P814" s="6">
        <v>41162.645405092597</v>
      </c>
      <c r="Q814" s="11"/>
      <c r="R814" s="17"/>
      <c r="S814" s="11"/>
      <c r="T814" s="11"/>
      <c r="U814" s="10" t="str">
        <f>HYPERLINK("https://pbs.twimg.com/profile_images/651798340200476673/oLjAGMTK.jpg","View")</f>
        <v>View</v>
      </c>
    </row>
    <row r="815" spans="1:21" ht="40.799999999999997">
      <c r="A815" s="6">
        <v>43441.912511574075</v>
      </c>
      <c r="B815" s="7" t="str">
        <f>HYPERLINK("https://twitter.com/PEPEROES1972","@PEPEROES1972")</f>
        <v>@PEPEROES1972</v>
      </c>
      <c r="C815" s="8" t="s">
        <v>1520</v>
      </c>
      <c r="D815" s="9" t="s">
        <v>1521</v>
      </c>
      <c r="E815" s="10" t="str">
        <f>HYPERLINK("https://twitter.com/PEPEROES1972/status/1071145829686231041","1071145829686231041")</f>
        <v>1071145829686231041</v>
      </c>
      <c r="F815" s="11"/>
      <c r="G815" s="12" t="s">
        <v>1522</v>
      </c>
      <c r="H815" s="11"/>
      <c r="I815" s="13">
        <v>79</v>
      </c>
      <c r="J815" s="13">
        <v>81</v>
      </c>
      <c r="K815" s="14" t="str">
        <f>HYPERLINK("http://twitter.com/download/iphone","Twitter for iPhone")</f>
        <v>Twitter for iPhone</v>
      </c>
      <c r="L815" s="13">
        <v>10546</v>
      </c>
      <c r="M815" s="13">
        <v>5041</v>
      </c>
      <c r="N815" s="13">
        <v>106</v>
      </c>
      <c r="O815" s="15"/>
      <c r="P815" s="6">
        <v>40456.570023148146</v>
      </c>
      <c r="Q815" s="18" t="s">
        <v>1525</v>
      </c>
      <c r="R815" s="19" t="s">
        <v>1527</v>
      </c>
      <c r="S815" s="11"/>
      <c r="T815" s="11"/>
      <c r="U815" s="10" t="str">
        <f>HYPERLINK("https://pbs.twimg.com/profile_images/1015133506677207041/WIe3CQ1b.jpg","View")</f>
        <v>View</v>
      </c>
    </row>
    <row r="816" spans="1:21" ht="30.6">
      <c r="A816" s="6">
        <v>43441.912314814814</v>
      </c>
      <c r="B816" s="7" t="str">
        <f>HYPERLINK("https://twitter.com/oscarluislpezg1","@oscarluislpezg1")</f>
        <v>@oscarluislpezg1</v>
      </c>
      <c r="C816" s="8" t="s">
        <v>962</v>
      </c>
      <c r="D816" s="9" t="s">
        <v>4782</v>
      </c>
      <c r="E816" s="10" t="str">
        <f>HYPERLINK("https://twitter.com/oscarluislpezg1/status/1071145760908066816","1071145760908066816")</f>
        <v>1071145760908066816</v>
      </c>
      <c r="F816" s="11"/>
      <c r="G816" s="12" t="s">
        <v>4783</v>
      </c>
      <c r="H816" s="11"/>
      <c r="I816" s="13">
        <v>0</v>
      </c>
      <c r="J816" s="13">
        <v>0</v>
      </c>
      <c r="K816" s="14" t="str">
        <f t="shared" ref="K816:K819" si="158">HYPERLINK("http://twitter.com/download/android","Twitter for Android")</f>
        <v>Twitter for Android</v>
      </c>
      <c r="L816" s="13">
        <v>122</v>
      </c>
      <c r="M816" s="13">
        <v>316</v>
      </c>
      <c r="N816" s="13">
        <v>0</v>
      </c>
      <c r="O816" s="15"/>
      <c r="P816" s="6">
        <v>43290.956747685181</v>
      </c>
      <c r="Q816" s="18" t="s">
        <v>42</v>
      </c>
      <c r="R816" s="19" t="s">
        <v>969</v>
      </c>
      <c r="S816" s="11"/>
      <c r="T816" s="11"/>
      <c r="U816" s="16" t="s">
        <v>191</v>
      </c>
    </row>
    <row r="817" spans="1:21" ht="112.2">
      <c r="A817" s="6">
        <v>43441.91133101852</v>
      </c>
      <c r="B817" s="7" t="str">
        <f>HYPERLINK("https://twitter.com/blngrrd","@blngrrd")</f>
        <v>@blngrrd</v>
      </c>
      <c r="C817" s="8" t="s">
        <v>1530</v>
      </c>
      <c r="D817" s="9" t="s">
        <v>1531</v>
      </c>
      <c r="E817" s="10" t="str">
        <f>HYPERLINK("https://twitter.com/blngrrd/status/1071145404081807360","1071145404081807360")</f>
        <v>1071145404081807360</v>
      </c>
      <c r="F817" s="12" t="s">
        <v>1534</v>
      </c>
      <c r="G817" s="12" t="s">
        <v>1535</v>
      </c>
      <c r="H817" s="11"/>
      <c r="I817" s="13">
        <v>2</v>
      </c>
      <c r="J817" s="13">
        <v>1</v>
      </c>
      <c r="K817" s="14" t="str">
        <f t="shared" si="158"/>
        <v>Twitter for Android</v>
      </c>
      <c r="L817" s="13">
        <v>278</v>
      </c>
      <c r="M817" s="13">
        <v>360</v>
      </c>
      <c r="N817" s="13">
        <v>0</v>
      </c>
      <c r="O817" s="15"/>
      <c r="P817" s="6">
        <v>42117.671053240745</v>
      </c>
      <c r="Q817" s="11"/>
      <c r="R817" s="19" t="s">
        <v>1537</v>
      </c>
      <c r="S817" s="11"/>
      <c r="T817" s="11"/>
      <c r="U817" s="10" t="str">
        <f>HYPERLINK("https://pbs.twimg.com/profile_images/1038120833535954944/Rwz5MGe6.jpg","View")</f>
        <v>View</v>
      </c>
    </row>
    <row r="818" spans="1:21" ht="40.799999999999997">
      <c r="A818" s="6">
        <v>43441.91101851852</v>
      </c>
      <c r="B818" s="7" t="str">
        <f>HYPERLINK("https://twitter.com/TomasFe14020511","@TomasFe14020511")</f>
        <v>@TomasFe14020511</v>
      </c>
      <c r="C818" s="8" t="s">
        <v>1372</v>
      </c>
      <c r="D818" s="9" t="s">
        <v>1541</v>
      </c>
      <c r="E818" s="10" t="str">
        <f>HYPERLINK("https://twitter.com/TomasFe14020511/status/1071145289346633728","1071145289346633728")</f>
        <v>1071145289346633728</v>
      </c>
      <c r="F818" s="12" t="s">
        <v>1542</v>
      </c>
      <c r="G818" s="11"/>
      <c r="H818" s="11"/>
      <c r="I818" s="13">
        <v>3</v>
      </c>
      <c r="J818" s="13">
        <v>1</v>
      </c>
      <c r="K818" s="14" t="str">
        <f t="shared" si="158"/>
        <v>Twitter for Android</v>
      </c>
      <c r="L818" s="13">
        <v>1351</v>
      </c>
      <c r="M818" s="13">
        <v>1344</v>
      </c>
      <c r="N818" s="13">
        <v>5</v>
      </c>
      <c r="O818" s="15"/>
      <c r="P818" s="6">
        <v>43049.337407407409</v>
      </c>
      <c r="Q818" s="18" t="s">
        <v>1379</v>
      </c>
      <c r="R818" s="19" t="s">
        <v>1380</v>
      </c>
      <c r="S818" s="11"/>
      <c r="T818" s="11"/>
      <c r="U818" s="10" t="str">
        <f>HYPERLINK("https://pbs.twimg.com/profile_images/991457940627447813/C8Mm4Yiy.jpg","View")</f>
        <v>View</v>
      </c>
    </row>
    <row r="819" spans="1:21" ht="71.400000000000006">
      <c r="A819" s="6">
        <v>43441.910393518519</v>
      </c>
      <c r="B819" s="7" t="str">
        <f>HYPERLINK("https://twitter.com/LolaZapater1","@LolaZapater1")</f>
        <v>@LolaZapater1</v>
      </c>
      <c r="C819" s="8" t="s">
        <v>4784</v>
      </c>
      <c r="D819" s="9" t="s">
        <v>4785</v>
      </c>
      <c r="E819" s="10" t="str">
        <f>HYPERLINK("https://twitter.com/LolaZapater1/status/1071145061566550019","1071145061566550019")</f>
        <v>1071145061566550019</v>
      </c>
      <c r="F819" s="12" t="s">
        <v>4786</v>
      </c>
      <c r="G819" s="11"/>
      <c r="H819" s="11"/>
      <c r="I819" s="13">
        <v>0</v>
      </c>
      <c r="J819" s="13">
        <v>0</v>
      </c>
      <c r="K819" s="14" t="str">
        <f t="shared" si="158"/>
        <v>Twitter for Android</v>
      </c>
      <c r="L819" s="13">
        <v>162</v>
      </c>
      <c r="M819" s="13">
        <v>210</v>
      </c>
      <c r="N819" s="13">
        <v>6</v>
      </c>
      <c r="O819" s="15"/>
      <c r="P819" s="6">
        <v>41165.084444444445</v>
      </c>
      <c r="Q819" s="18" t="s">
        <v>715</v>
      </c>
      <c r="R819" s="19" t="s">
        <v>4787</v>
      </c>
      <c r="S819" s="11"/>
      <c r="T819" s="11"/>
      <c r="U819" s="10" t="str">
        <f>HYPERLINK("https://pbs.twimg.com/profile_images/665480460601049088/QMTQD26x.jpg","View")</f>
        <v>View</v>
      </c>
    </row>
    <row r="820" spans="1:21" ht="61.2">
      <c r="A820" s="6">
        <v>43441.910127314812</v>
      </c>
      <c r="B820" s="7" t="str">
        <f>HYPERLINK("https://twitter.com/llamaloasi","@llamaloasi")</f>
        <v>@llamaloasi</v>
      </c>
      <c r="C820" s="8" t="s">
        <v>4788</v>
      </c>
      <c r="D820" s="9" t="s">
        <v>4789</v>
      </c>
      <c r="E820" s="10" t="str">
        <f>HYPERLINK("https://twitter.com/llamaloasi/status/1071144964103565313","1071144964103565313")</f>
        <v>1071144964103565313</v>
      </c>
      <c r="F820" s="12" t="s">
        <v>4790</v>
      </c>
      <c r="G820" s="11"/>
      <c r="H820" s="11"/>
      <c r="I820" s="13">
        <v>0</v>
      </c>
      <c r="J820" s="13">
        <v>0</v>
      </c>
      <c r="K820" s="14" t="str">
        <f t="shared" ref="K820:K821" si="159">HYPERLINK("http://twitter.com/download/iphone","Twitter for iPhone")</f>
        <v>Twitter for iPhone</v>
      </c>
      <c r="L820" s="13">
        <v>485</v>
      </c>
      <c r="M820" s="13">
        <v>970</v>
      </c>
      <c r="N820" s="13">
        <v>1</v>
      </c>
      <c r="O820" s="15"/>
      <c r="P820" s="6">
        <v>42016.407418981486</v>
      </c>
      <c r="Q820" s="18" t="s">
        <v>42</v>
      </c>
      <c r="R820" s="19" t="s">
        <v>4791</v>
      </c>
      <c r="S820" s="11"/>
      <c r="T820" s="11"/>
      <c r="U820" s="10" t="str">
        <f>HYPERLINK("https://pbs.twimg.com/profile_images/920019405010022400/iySEqByD.jpg","View")</f>
        <v>View</v>
      </c>
    </row>
    <row r="821" spans="1:21" ht="81.599999999999994">
      <c r="A821" s="6">
        <v>43441.908599537041</v>
      </c>
      <c r="B821" s="7" t="str">
        <f>HYPERLINK("https://twitter.com/_____Nadie","@_____Nadie")</f>
        <v>@_____Nadie</v>
      </c>
      <c r="C821" s="8" t="s">
        <v>1546</v>
      </c>
      <c r="D821" s="9" t="s">
        <v>1548</v>
      </c>
      <c r="E821" s="10" t="str">
        <f>HYPERLINK("https://twitter.com/_____Nadie/status/1071144411692761089","1071144411692761089")</f>
        <v>1071144411692761089</v>
      </c>
      <c r="F821" s="18" t="s">
        <v>1456</v>
      </c>
      <c r="G821" s="11"/>
      <c r="H821" s="11"/>
      <c r="I821" s="13">
        <v>0</v>
      </c>
      <c r="J821" s="13">
        <v>0</v>
      </c>
      <c r="K821" s="14" t="str">
        <f t="shared" si="159"/>
        <v>Twitter for iPhone</v>
      </c>
      <c r="L821" s="13">
        <v>68</v>
      </c>
      <c r="M821" s="13">
        <v>0</v>
      </c>
      <c r="N821" s="13">
        <v>0</v>
      </c>
      <c r="O821" s="15"/>
      <c r="P821" s="6">
        <v>43027.962777777779</v>
      </c>
      <c r="Q821" s="18" t="s">
        <v>42</v>
      </c>
      <c r="R821" s="19" t="s">
        <v>1549</v>
      </c>
      <c r="S821" s="11"/>
      <c r="T821" s="11"/>
      <c r="U821" s="10" t="str">
        <f>HYPERLINK("https://pbs.twimg.com/profile_images/998157788139278336/Czke3-JV.jpg","View")</f>
        <v>View</v>
      </c>
    </row>
    <row r="822" spans="1:21" ht="13.2">
      <c r="A822" s="6">
        <v>43441.908587962964</v>
      </c>
      <c r="B822" s="7" t="str">
        <f>HYPERLINK("https://twitter.com/fjaviermunoz39","@fjaviermunoz39")</f>
        <v>@fjaviermunoz39</v>
      </c>
      <c r="C822" s="8" t="s">
        <v>4792</v>
      </c>
      <c r="D822" s="9" t="s">
        <v>4793</v>
      </c>
      <c r="E822" s="10" t="str">
        <f>HYPERLINK("https://twitter.com/fjaviermunoz39/status/1071144409599750144","1071144409599750144")</f>
        <v>1071144409599750144</v>
      </c>
      <c r="F822" s="12" t="s">
        <v>4794</v>
      </c>
      <c r="G822" s="11"/>
      <c r="H822" s="11"/>
      <c r="I822" s="13">
        <v>0</v>
      </c>
      <c r="J822" s="13">
        <v>0</v>
      </c>
      <c r="K822" s="14" t="str">
        <f>HYPERLINK("http://www.facebook.com/twitter","Facebook")</f>
        <v>Facebook</v>
      </c>
      <c r="L822" s="13">
        <v>204</v>
      </c>
      <c r="M822" s="13">
        <v>399</v>
      </c>
      <c r="N822" s="13">
        <v>4</v>
      </c>
      <c r="O822" s="15"/>
      <c r="P822" s="6">
        <v>40698.649259259255</v>
      </c>
      <c r="Q822" s="18" t="s">
        <v>4795</v>
      </c>
      <c r="R822" s="19" t="s">
        <v>4796</v>
      </c>
      <c r="S822" s="11"/>
      <c r="T822" s="11"/>
      <c r="U822" s="10" t="str">
        <f>HYPERLINK("https://pbs.twimg.com/profile_images/1382489186/image.jpg","View")</f>
        <v>View</v>
      </c>
    </row>
    <row r="823" spans="1:21" ht="51">
      <c r="A823" s="6">
        <v>43441.908587962964</v>
      </c>
      <c r="B823" s="7" t="str">
        <f>HYPERLINK("https://twitter.com/chusantonn","@chusantonn")</f>
        <v>@chusantonn</v>
      </c>
      <c r="C823" s="8" t="s">
        <v>595</v>
      </c>
      <c r="D823" s="9" t="s">
        <v>1550</v>
      </c>
      <c r="E823" s="10" t="str">
        <f>HYPERLINK("https://twitter.com/chusantonn/status/1071144407280349184","1071144407280349184")</f>
        <v>1071144407280349184</v>
      </c>
      <c r="F823" s="12" t="s">
        <v>732</v>
      </c>
      <c r="G823" s="11"/>
      <c r="H823" s="11"/>
      <c r="I823" s="13">
        <v>0</v>
      </c>
      <c r="J823" s="13">
        <v>0</v>
      </c>
      <c r="K823" s="14" t="str">
        <f>HYPERLINK("http://twitter.com/download/iphone","Twitter for iPhone")</f>
        <v>Twitter for iPhone</v>
      </c>
      <c r="L823" s="13">
        <v>59</v>
      </c>
      <c r="M823" s="13">
        <v>543</v>
      </c>
      <c r="N823" s="13">
        <v>1</v>
      </c>
      <c r="O823" s="15"/>
      <c r="P823" s="6">
        <v>42450.726145833338</v>
      </c>
      <c r="Q823" s="18" t="s">
        <v>454</v>
      </c>
      <c r="R823" s="19" t="s">
        <v>1551</v>
      </c>
      <c r="S823" s="11"/>
      <c r="T823" s="11"/>
      <c r="U823" s="10" t="str">
        <f>HYPERLINK("https://pbs.twimg.com/profile_images/917279488408420352/tTfkXoWK.jpg","View")</f>
        <v>View</v>
      </c>
    </row>
    <row r="824" spans="1:21" ht="40.799999999999997">
      <c r="A824" s="6">
        <v>43441.908518518518</v>
      </c>
      <c r="B824" s="7" t="str">
        <f>HYPERLINK("https://twitter.com/jasalo54","@jasalo54")</f>
        <v>@jasalo54</v>
      </c>
      <c r="C824" s="8" t="s">
        <v>4797</v>
      </c>
      <c r="D824" s="9" t="s">
        <v>834</v>
      </c>
      <c r="E824" s="10" t="str">
        <f>HYPERLINK("https://twitter.com/jasalo54/status/1071144381472747523","1071144381472747523")</f>
        <v>1071144381472747523</v>
      </c>
      <c r="F824" s="12" t="s">
        <v>899</v>
      </c>
      <c r="G824" s="11"/>
      <c r="H824" s="11"/>
      <c r="I824" s="13">
        <v>1</v>
      </c>
      <c r="J824" s="13">
        <v>0</v>
      </c>
      <c r="K824" s="14" t="str">
        <f>HYPERLINK("http://twitter.com","Twitter Web Client")</f>
        <v>Twitter Web Client</v>
      </c>
      <c r="L824" s="13">
        <v>363</v>
      </c>
      <c r="M824" s="13">
        <v>1793</v>
      </c>
      <c r="N824" s="13">
        <v>6</v>
      </c>
      <c r="O824" s="15"/>
      <c r="P824" s="6">
        <v>42004.016145833331</v>
      </c>
      <c r="Q824" s="18" t="s">
        <v>4798</v>
      </c>
      <c r="R824" s="19" t="s">
        <v>4799</v>
      </c>
      <c r="S824" s="11"/>
      <c r="T824" s="11"/>
      <c r="U824" s="10" t="str">
        <f>HYPERLINK("https://pbs.twimg.com/profile_images/852286523483582464/Tj1M7Lqo.jpg","View")</f>
        <v>View</v>
      </c>
    </row>
    <row r="825" spans="1:21" ht="20.399999999999999">
      <c r="A825" s="6">
        <v>43441.907719907409</v>
      </c>
      <c r="B825" s="7" t="str">
        <f>HYPERLINK("https://twitter.com/euroescoba","@euroescoba")</f>
        <v>@euroescoba</v>
      </c>
      <c r="C825" s="8" t="s">
        <v>1553</v>
      </c>
      <c r="D825" s="9" t="s">
        <v>1554</v>
      </c>
      <c r="E825" s="10" t="str">
        <f>HYPERLINK("https://twitter.com/euroescoba/status/1071144093198229505","1071144093198229505")</f>
        <v>1071144093198229505</v>
      </c>
      <c r="F825" s="18" t="s">
        <v>1556</v>
      </c>
      <c r="G825" s="11"/>
      <c r="H825" s="11"/>
      <c r="I825" s="13">
        <v>0</v>
      </c>
      <c r="J825" s="13">
        <v>0</v>
      </c>
      <c r="K825" s="14" t="str">
        <f>HYPERLINK("http://twitter.com/download/iphone","Twitter for iPhone")</f>
        <v>Twitter for iPhone</v>
      </c>
      <c r="L825" s="13">
        <v>253</v>
      </c>
      <c r="M825" s="13">
        <v>654</v>
      </c>
      <c r="N825" s="13">
        <v>0</v>
      </c>
      <c r="O825" s="15"/>
      <c r="P825" s="6">
        <v>43359.871423611112</v>
      </c>
      <c r="Q825" s="18" t="s">
        <v>42</v>
      </c>
      <c r="R825" s="17"/>
      <c r="S825" s="11"/>
      <c r="T825" s="11"/>
      <c r="U825" s="10" t="str">
        <f>HYPERLINK("https://pbs.twimg.com/profile_images/1041401488071962625/h0f4uHG9.jpg","View")</f>
        <v>View</v>
      </c>
    </row>
    <row r="826" spans="1:21" ht="61.2">
      <c r="A826" s="6">
        <v>43441.907500000001</v>
      </c>
      <c r="B826" s="7" t="str">
        <f>HYPERLINK("https://twitter.com/kokecabrera","@kokecabrera")</f>
        <v>@kokecabrera</v>
      </c>
      <c r="C826" s="8" t="s">
        <v>1559</v>
      </c>
      <c r="D826" s="9" t="s">
        <v>1560</v>
      </c>
      <c r="E826" s="10" t="str">
        <f>HYPERLINK("https://twitter.com/kokecabrera/status/1071144012470517760","1071144012470517760")</f>
        <v>1071144012470517760</v>
      </c>
      <c r="F826" s="11"/>
      <c r="G826" s="12" t="s">
        <v>1561</v>
      </c>
      <c r="H826" s="11"/>
      <c r="I826" s="13">
        <v>19</v>
      </c>
      <c r="J826" s="13">
        <v>18</v>
      </c>
      <c r="K826" s="14" t="str">
        <f>HYPERLINK("http://twitter.com/download/android","Twitter for Android")</f>
        <v>Twitter for Android</v>
      </c>
      <c r="L826" s="13">
        <v>1133</v>
      </c>
      <c r="M826" s="13">
        <v>1066</v>
      </c>
      <c r="N826" s="13">
        <v>2</v>
      </c>
      <c r="O826" s="15"/>
      <c r="P826" s="6">
        <v>40459.070439814815</v>
      </c>
      <c r="Q826" s="18" t="s">
        <v>1325</v>
      </c>
      <c r="R826" s="19" t="s">
        <v>1562</v>
      </c>
      <c r="S826" s="11"/>
      <c r="T826" s="11"/>
      <c r="U826" s="10" t="str">
        <f>HYPERLINK("https://pbs.twimg.com/profile_images/1059907412499533824/eQNo9R8i.jpg","View")</f>
        <v>View</v>
      </c>
    </row>
    <row r="827" spans="1:21" ht="40.799999999999997">
      <c r="A827" s="6">
        <v>43441.907291666663</v>
      </c>
      <c r="B827" s="7" t="str">
        <f>HYPERLINK("https://twitter.com/josemiguel1943","@josemiguel1943")</f>
        <v>@josemiguel1943</v>
      </c>
      <c r="C827" s="8" t="s">
        <v>4800</v>
      </c>
      <c r="D827" s="9" t="s">
        <v>4801</v>
      </c>
      <c r="E827" s="10" t="str">
        <f>HYPERLINK("https://twitter.com/josemiguel1943/status/1071143937241423873","1071143937241423873")</f>
        <v>1071143937241423873</v>
      </c>
      <c r="F827" s="12" t="s">
        <v>4761</v>
      </c>
      <c r="G827" s="11"/>
      <c r="H827" s="11"/>
      <c r="I827" s="13">
        <v>0</v>
      </c>
      <c r="J827" s="13">
        <v>0</v>
      </c>
      <c r="K827" s="14" t="str">
        <f>HYPERLINK("http://twitter.com/#!/download/ipad","Twitter for iPad")</f>
        <v>Twitter for iPad</v>
      </c>
      <c r="L827" s="13">
        <v>13774</v>
      </c>
      <c r="M827" s="13">
        <v>14929</v>
      </c>
      <c r="N827" s="13">
        <v>29</v>
      </c>
      <c r="O827" s="15"/>
      <c r="P827" s="6">
        <v>40799.985949074078</v>
      </c>
      <c r="Q827" s="18" t="s">
        <v>4802</v>
      </c>
      <c r="R827" s="19" t="s">
        <v>4803</v>
      </c>
      <c r="S827" s="11"/>
      <c r="T827" s="11"/>
      <c r="U827" s="10" t="str">
        <f>HYPERLINK("https://pbs.twimg.com/profile_images/1057785980650954752/d8VvgpHq.jpg","View")</f>
        <v>View</v>
      </c>
    </row>
    <row r="828" spans="1:21" ht="30.6">
      <c r="A828" s="6">
        <v>43441.906006944446</v>
      </c>
      <c r="B828" s="7" t="str">
        <f>HYPERLINK("https://twitter.com/solidatus","@solidatus")</f>
        <v>@solidatus</v>
      </c>
      <c r="C828" s="8" t="s">
        <v>4773</v>
      </c>
      <c r="D828" s="9" t="s">
        <v>4468</v>
      </c>
      <c r="E828" s="10" t="str">
        <f>HYPERLINK("https://twitter.com/solidatus/status/1071143473879965696","1071143473879965696")</f>
        <v>1071143473879965696</v>
      </c>
      <c r="F828" s="12" t="s">
        <v>1526</v>
      </c>
      <c r="G828" s="11"/>
      <c r="H828" s="11"/>
      <c r="I828" s="13">
        <v>0</v>
      </c>
      <c r="J828" s="13">
        <v>1</v>
      </c>
      <c r="K828" s="14" t="str">
        <f>HYPERLINK("http://twitter.com/download/iphone","Twitter for iPhone")</f>
        <v>Twitter for iPhone</v>
      </c>
      <c r="L828" s="13">
        <v>870</v>
      </c>
      <c r="M828" s="13">
        <v>850</v>
      </c>
      <c r="N828" s="13">
        <v>7</v>
      </c>
      <c r="O828" s="15"/>
      <c r="P828" s="6">
        <v>41434.634432870371</v>
      </c>
      <c r="Q828" s="18" t="s">
        <v>42</v>
      </c>
      <c r="R828" s="19" t="s">
        <v>4776</v>
      </c>
      <c r="S828" s="12" t="s">
        <v>4777</v>
      </c>
      <c r="T828" s="11"/>
      <c r="U828" s="10" t="str">
        <f>HYPERLINK("https://pbs.twimg.com/profile_images/1043606398058283008/4sDcdbPz.jpg","View")</f>
        <v>View</v>
      </c>
    </row>
    <row r="829" spans="1:21" ht="30.6">
      <c r="A829" s="6">
        <v>43441.904768518521</v>
      </c>
      <c r="B829" s="7" t="str">
        <f>HYPERLINK("https://twitter.com/17101981wedding","@17101981wedding")</f>
        <v>@17101981wedding</v>
      </c>
      <c r="C829" s="8" t="s">
        <v>4804</v>
      </c>
      <c r="D829" s="9" t="s">
        <v>834</v>
      </c>
      <c r="E829" s="10" t="str">
        <f>HYPERLINK("https://twitter.com/17101981wedding/status/1071143022874816512","1071143022874816512")</f>
        <v>1071143022874816512</v>
      </c>
      <c r="F829" s="12" t="s">
        <v>899</v>
      </c>
      <c r="G829" s="11"/>
      <c r="H829" s="11"/>
      <c r="I829" s="13">
        <v>29</v>
      </c>
      <c r="J829" s="13">
        <v>47</v>
      </c>
      <c r="K829" s="14" t="str">
        <f t="shared" ref="K829:K831" si="160">HYPERLINK("http://twitter.com/download/android","Twitter for Android")</f>
        <v>Twitter for Android</v>
      </c>
      <c r="L829" s="13">
        <v>10398</v>
      </c>
      <c r="M829" s="13">
        <v>10093</v>
      </c>
      <c r="N829" s="13">
        <v>11</v>
      </c>
      <c r="O829" s="15"/>
      <c r="P829" s="6">
        <v>41444.233495370368</v>
      </c>
      <c r="Q829" s="18" t="s">
        <v>42</v>
      </c>
      <c r="R829" s="19" t="s">
        <v>4805</v>
      </c>
      <c r="S829" s="11"/>
      <c r="T829" s="11"/>
      <c r="U829" s="10" t="str">
        <f>HYPERLINK("https://pbs.twimg.com/profile_images/971156588877811714/8x80uvOo.jpg","View")</f>
        <v>View</v>
      </c>
    </row>
    <row r="830" spans="1:21" ht="51">
      <c r="A830" s="6">
        <v>43441.904178240744</v>
      </c>
      <c r="B830" s="7" t="str">
        <f>HYPERLINK("https://twitter.com/f_cantalapiedra","@f_cantalapiedra")</f>
        <v>@f_cantalapiedra</v>
      </c>
      <c r="C830" s="8" t="s">
        <v>1565</v>
      </c>
      <c r="D830" s="9" t="s">
        <v>1566</v>
      </c>
      <c r="E830" s="10" t="str">
        <f>HYPERLINK("https://twitter.com/f_cantalapiedra/status/1071142811637035008","1071142811637035008")</f>
        <v>1071142811637035008</v>
      </c>
      <c r="F830" s="11"/>
      <c r="G830" s="12" t="s">
        <v>1570</v>
      </c>
      <c r="H830" s="11"/>
      <c r="I830" s="13">
        <v>8</v>
      </c>
      <c r="J830" s="13">
        <v>9</v>
      </c>
      <c r="K830" s="14" t="str">
        <f t="shared" si="160"/>
        <v>Twitter for Android</v>
      </c>
      <c r="L830" s="13">
        <v>495</v>
      </c>
      <c r="M830" s="13">
        <v>464</v>
      </c>
      <c r="N830" s="13">
        <v>2</v>
      </c>
      <c r="O830" s="15"/>
      <c r="P830" s="6">
        <v>40682.982453703706</v>
      </c>
      <c r="Q830" s="18" t="s">
        <v>307</v>
      </c>
      <c r="R830" s="19" t="s">
        <v>1571</v>
      </c>
      <c r="S830" s="11"/>
      <c r="T830" s="11"/>
      <c r="U830" s="10" t="str">
        <f>HYPERLINK("https://pbs.twimg.com/profile_images/1070649998428250112/WtS9r9QW.jpg","View")</f>
        <v>View</v>
      </c>
    </row>
    <row r="831" spans="1:21" ht="40.799999999999997">
      <c r="A831" s="6">
        <v>43441.903414351851</v>
      </c>
      <c r="B831" s="7" t="str">
        <f>HYPERLINK("https://twitter.com/BromiusBCN","@BromiusBCN")</f>
        <v>@BromiusBCN</v>
      </c>
      <c r="C831" s="8" t="s">
        <v>4806</v>
      </c>
      <c r="D831" s="9" t="s">
        <v>4807</v>
      </c>
      <c r="E831" s="10" t="str">
        <f>HYPERLINK("https://twitter.com/BromiusBCN/status/1071142534972407810","1071142534972407810")</f>
        <v>1071142534972407810</v>
      </c>
      <c r="F831" s="12" t="s">
        <v>4808</v>
      </c>
      <c r="G831" s="11"/>
      <c r="H831" s="11"/>
      <c r="I831" s="13">
        <v>15</v>
      </c>
      <c r="J831" s="13">
        <v>19</v>
      </c>
      <c r="K831" s="14" t="str">
        <f t="shared" si="160"/>
        <v>Twitter for Android</v>
      </c>
      <c r="L831" s="13">
        <v>1875</v>
      </c>
      <c r="M831" s="13">
        <v>879</v>
      </c>
      <c r="N831" s="13">
        <v>6</v>
      </c>
      <c r="O831" s="15"/>
      <c r="P831" s="6">
        <v>43098.393541666665</v>
      </c>
      <c r="Q831" s="18" t="s">
        <v>671</v>
      </c>
      <c r="R831" s="19" t="s">
        <v>4809</v>
      </c>
      <c r="S831" s="12" t="s">
        <v>4810</v>
      </c>
      <c r="T831" s="11"/>
      <c r="U831" s="10" t="str">
        <f>HYPERLINK("https://pbs.twimg.com/profile_images/1053535046399868928/5zG4nRdC.jpg","View")</f>
        <v>View</v>
      </c>
    </row>
    <row r="832" spans="1:21" ht="40.799999999999997">
      <c r="A832" s="6">
        <v>43441.902743055558</v>
      </c>
      <c r="B832" s="7" t="str">
        <f>HYPERLINK("https://twitter.com/Sanjavi1122","@Sanjavi1122")</f>
        <v>@Sanjavi1122</v>
      </c>
      <c r="C832" s="8" t="s">
        <v>4811</v>
      </c>
      <c r="D832" s="9" t="s">
        <v>4568</v>
      </c>
      <c r="E832" s="10" t="str">
        <f>HYPERLINK("https://twitter.com/Sanjavi1122/status/1071142290276663301","1071142290276663301")</f>
        <v>1071142290276663301</v>
      </c>
      <c r="F832" s="12" t="s">
        <v>4569</v>
      </c>
      <c r="G832" s="11"/>
      <c r="H832" s="11"/>
      <c r="I832" s="13">
        <v>0</v>
      </c>
      <c r="J832" s="13">
        <v>0</v>
      </c>
      <c r="K832" s="14" t="str">
        <f>HYPERLINK("http://twitter.com","Twitter Web Client")</f>
        <v>Twitter Web Client</v>
      </c>
      <c r="L832" s="13">
        <v>687</v>
      </c>
      <c r="M832" s="13">
        <v>1959</v>
      </c>
      <c r="N832" s="13">
        <v>5</v>
      </c>
      <c r="O832" s="15"/>
      <c r="P832" s="6">
        <v>40123.738703703704</v>
      </c>
      <c r="Q832" s="18" t="s">
        <v>41</v>
      </c>
      <c r="R832" s="19" t="s">
        <v>4812</v>
      </c>
      <c r="S832" s="11"/>
      <c r="T832" s="11"/>
      <c r="U832" s="10" t="str">
        <f>HYPERLINK("https://pbs.twimg.com/profile_images/1139818744/Venezuela_06_018.jpg","View")</f>
        <v>View</v>
      </c>
    </row>
    <row r="833" spans="1:21" ht="81.599999999999994">
      <c r="A833" s="6">
        <v>43441.902129629627</v>
      </c>
      <c r="B833" s="7" t="str">
        <f>HYPERLINK("https://twitter.com/PacoBorja33","@PacoBorja33")</f>
        <v>@PacoBorja33</v>
      </c>
      <c r="C833" s="8" t="s">
        <v>1575</v>
      </c>
      <c r="D833" s="9" t="s">
        <v>1576</v>
      </c>
      <c r="E833" s="10" t="str">
        <f>HYPERLINK("https://twitter.com/PacoBorja33/status/1071142068343463937","1071142068343463937")</f>
        <v>1071142068343463937</v>
      </c>
      <c r="F833" s="12" t="s">
        <v>1465</v>
      </c>
      <c r="G833" s="11"/>
      <c r="H833" s="11"/>
      <c r="I833" s="13">
        <v>0</v>
      </c>
      <c r="J833" s="13">
        <v>0</v>
      </c>
      <c r="K833" s="14" t="str">
        <f>HYPERLINK("http://twitter.com/download/iphone","Twitter for iPhone")</f>
        <v>Twitter for iPhone</v>
      </c>
      <c r="L833" s="13">
        <v>296</v>
      </c>
      <c r="M833" s="13">
        <v>812</v>
      </c>
      <c r="N833" s="13">
        <v>0</v>
      </c>
      <c r="O833" s="15"/>
      <c r="P833" s="6">
        <v>42639.989976851852</v>
      </c>
      <c r="Q833" s="18" t="s">
        <v>1578</v>
      </c>
      <c r="R833" s="19" t="s">
        <v>1579</v>
      </c>
      <c r="S833" s="11"/>
      <c r="T833" s="11"/>
      <c r="U833" s="10" t="str">
        <f>HYPERLINK("https://pbs.twimg.com/profile_images/1032576690650865665/mrpLURtV.jpg","View")</f>
        <v>View</v>
      </c>
    </row>
    <row r="834" spans="1:21" ht="13.2">
      <c r="A834" s="6">
        <v>43441.902013888888</v>
      </c>
      <c r="B834" s="7" t="str">
        <f>HYPERLINK("https://twitter.com/Mrstantoon1","@Mrstantoon1")</f>
        <v>@Mrstantoon1</v>
      </c>
      <c r="C834" s="8" t="s">
        <v>4813</v>
      </c>
      <c r="D834" s="9" t="s">
        <v>4814</v>
      </c>
      <c r="E834" s="10" t="str">
        <f>HYPERLINK("https://twitter.com/Mrstantoon1/status/1071142026878554113","1071142026878554113")</f>
        <v>1071142026878554113</v>
      </c>
      <c r="F834" s="12" t="s">
        <v>4815</v>
      </c>
      <c r="G834" s="11"/>
      <c r="H834" s="11"/>
      <c r="I834" s="13">
        <v>0</v>
      </c>
      <c r="J834" s="13">
        <v>0</v>
      </c>
      <c r="K834" s="14" t="str">
        <f t="shared" ref="K834:K837" si="161">HYPERLINK("http://twitter.com","Twitter Web Client")</f>
        <v>Twitter Web Client</v>
      </c>
      <c r="L834" s="13">
        <v>26</v>
      </c>
      <c r="M834" s="13">
        <v>120</v>
      </c>
      <c r="N834" s="13">
        <v>1</v>
      </c>
      <c r="O834" s="15"/>
      <c r="P834" s="6">
        <v>40603.734444444446</v>
      </c>
      <c r="Q834" s="11"/>
      <c r="R834" s="17"/>
      <c r="S834" s="11"/>
      <c r="T834" s="11"/>
      <c r="U834" s="10" t="str">
        <f>HYPERLINK("https://pbs.twimg.com/profile_images/2882783946/2702be72b50b6c10b543e9502fa51a95.png","View")</f>
        <v>View</v>
      </c>
    </row>
    <row r="835" spans="1:21" ht="40.799999999999997">
      <c r="A835" s="6">
        <v>43441.901516203703</v>
      </c>
      <c r="B835" s="7" t="str">
        <f>HYPERLINK("https://twitter.com/Sr_Don_Uno","@Sr_Don_Uno")</f>
        <v>@Sr_Don_Uno</v>
      </c>
      <c r="C835" s="8" t="s">
        <v>4816</v>
      </c>
      <c r="D835" s="9" t="s">
        <v>4817</v>
      </c>
      <c r="E835" s="10" t="str">
        <f>HYPERLINK("https://twitter.com/Sr_Don_Uno/status/1071141843591708672","1071141843591708672")</f>
        <v>1071141843591708672</v>
      </c>
      <c r="F835" s="11"/>
      <c r="G835" s="12" t="s">
        <v>4818</v>
      </c>
      <c r="H835" s="11"/>
      <c r="I835" s="13">
        <v>1</v>
      </c>
      <c r="J835" s="13">
        <v>2</v>
      </c>
      <c r="K835" s="14" t="str">
        <f t="shared" si="161"/>
        <v>Twitter Web Client</v>
      </c>
      <c r="L835" s="13">
        <v>788</v>
      </c>
      <c r="M835" s="13">
        <v>1420</v>
      </c>
      <c r="N835" s="13">
        <v>5</v>
      </c>
      <c r="O835" s="15"/>
      <c r="P835" s="6">
        <v>42572.495092592595</v>
      </c>
      <c r="Q835" s="11"/>
      <c r="R835" s="19" t="s">
        <v>4819</v>
      </c>
      <c r="S835" s="11"/>
      <c r="T835" s="11"/>
      <c r="U835" s="10" t="str">
        <f>HYPERLINK("https://pbs.twimg.com/profile_images/1045708703951974400/hHfMSXCD.jpg","View")</f>
        <v>View</v>
      </c>
    </row>
    <row r="836" spans="1:21" ht="40.799999999999997">
      <c r="A836" s="6">
        <v>43441.901122685187</v>
      </c>
      <c r="B836" s="7" t="str">
        <f>HYPERLINK("https://twitter.com/1anonlyone","@1anonlyone")</f>
        <v>@1anonlyone</v>
      </c>
      <c r="C836" s="8" t="s">
        <v>4820</v>
      </c>
      <c r="D836" s="9" t="s">
        <v>4821</v>
      </c>
      <c r="E836" s="10" t="str">
        <f>HYPERLINK("https://twitter.com/1anonlyone/status/1071141701509701633","1071141701509701633")</f>
        <v>1071141701509701633</v>
      </c>
      <c r="F836" s="12" t="s">
        <v>4822</v>
      </c>
      <c r="G836" s="11"/>
      <c r="H836" s="11"/>
      <c r="I836" s="13">
        <v>0</v>
      </c>
      <c r="J836" s="13">
        <v>0</v>
      </c>
      <c r="K836" s="14" t="str">
        <f t="shared" si="161"/>
        <v>Twitter Web Client</v>
      </c>
      <c r="L836" s="13">
        <v>89</v>
      </c>
      <c r="M836" s="13">
        <v>639</v>
      </c>
      <c r="N836" s="13">
        <v>0</v>
      </c>
      <c r="O836" s="15"/>
      <c r="P836" s="6">
        <v>41225.916041666671</v>
      </c>
      <c r="Q836" s="11"/>
      <c r="R836" s="17"/>
      <c r="S836" s="11"/>
      <c r="T836" s="11"/>
      <c r="U836" s="16" t="s">
        <v>191</v>
      </c>
    </row>
    <row r="837" spans="1:21" ht="13.2">
      <c r="A837" s="6">
        <v>43441.900381944448</v>
      </c>
      <c r="B837" s="7" t="str">
        <f>HYPERLINK("https://twitter.com/Mrstantoon1","@Mrstantoon1")</f>
        <v>@Mrstantoon1</v>
      </c>
      <c r="C837" s="8" t="s">
        <v>4813</v>
      </c>
      <c r="D837" s="9" t="s">
        <v>4823</v>
      </c>
      <c r="E837" s="10" t="str">
        <f>HYPERLINK("https://twitter.com/Mrstantoon1/status/1071141436245061632","1071141436245061632")</f>
        <v>1071141436245061632</v>
      </c>
      <c r="F837" s="12" t="s">
        <v>4824</v>
      </c>
      <c r="G837" s="11"/>
      <c r="H837" s="11"/>
      <c r="I837" s="13">
        <v>0</v>
      </c>
      <c r="J837" s="13">
        <v>0</v>
      </c>
      <c r="K837" s="14" t="str">
        <f t="shared" si="161"/>
        <v>Twitter Web Client</v>
      </c>
      <c r="L837" s="13">
        <v>26</v>
      </c>
      <c r="M837" s="13">
        <v>120</v>
      </c>
      <c r="N837" s="13">
        <v>1</v>
      </c>
      <c r="O837" s="15"/>
      <c r="P837" s="6">
        <v>40603.734444444446</v>
      </c>
      <c r="Q837" s="11"/>
      <c r="R837" s="17"/>
      <c r="S837" s="11"/>
      <c r="T837" s="11"/>
      <c r="U837" s="10" t="str">
        <f>HYPERLINK("https://pbs.twimg.com/profile_images/2882783946/2702be72b50b6c10b543e9502fa51a95.png","View")</f>
        <v>View</v>
      </c>
    </row>
    <row r="838" spans="1:21" ht="81.599999999999994">
      <c r="A838" s="6">
        <v>43441.899340277778</v>
      </c>
      <c r="B838" s="7" t="str">
        <f>HYPERLINK("https://twitter.com/amargalazis","@amargalazis")</f>
        <v>@amargalazis</v>
      </c>
      <c r="C838" s="8" t="s">
        <v>1580</v>
      </c>
      <c r="D838" s="9" t="s">
        <v>1581</v>
      </c>
      <c r="E838" s="10" t="str">
        <f>HYPERLINK("https://twitter.com/amargalazis/status/1071141058619289600","1071141058619289600")</f>
        <v>1071141058619289600</v>
      </c>
      <c r="F838" s="12" t="s">
        <v>1582</v>
      </c>
      <c r="G838" s="12" t="s">
        <v>1583</v>
      </c>
      <c r="H838" s="11"/>
      <c r="I838" s="13">
        <v>0</v>
      </c>
      <c r="J838" s="13">
        <v>1</v>
      </c>
      <c r="K838" s="14" t="str">
        <f>HYPERLINK("http://twitter.com/#!/download/ipad","Twitter for iPad")</f>
        <v>Twitter for iPad</v>
      </c>
      <c r="L838" s="13">
        <v>251</v>
      </c>
      <c r="M838" s="13">
        <v>266</v>
      </c>
      <c r="N838" s="13">
        <v>0</v>
      </c>
      <c r="O838" s="15"/>
      <c r="P838" s="6">
        <v>43375.453587962962</v>
      </c>
      <c r="Q838" s="11"/>
      <c r="R838" s="19" t="s">
        <v>1584</v>
      </c>
      <c r="S838" s="11"/>
      <c r="T838" s="11"/>
      <c r="U838" s="10" t="str">
        <f>HYPERLINK("https://pbs.twimg.com/profile_images/1048671570359672832/j8q3Uw5J.jpg","View")</f>
        <v>View</v>
      </c>
    </row>
    <row r="839" spans="1:21" ht="61.2">
      <c r="A839" s="6">
        <v>43441.899039351847</v>
      </c>
      <c r="B839" s="7" t="str">
        <f>HYPERLINK("https://twitter.com/GoldenZettah","@GoldenZettah")</f>
        <v>@GoldenZettah</v>
      </c>
      <c r="C839" s="8" t="s">
        <v>4825</v>
      </c>
      <c r="D839" s="9" t="s">
        <v>4826</v>
      </c>
      <c r="E839" s="10" t="str">
        <f>HYPERLINK("https://twitter.com/GoldenZettah/status/1071140946128056321","1071140946128056321")</f>
        <v>1071140946128056321</v>
      </c>
      <c r="F839" s="12" t="s">
        <v>832</v>
      </c>
      <c r="G839" s="12" t="s">
        <v>835</v>
      </c>
      <c r="H839" s="11"/>
      <c r="I839" s="13">
        <v>0</v>
      </c>
      <c r="J839" s="13">
        <v>1</v>
      </c>
      <c r="K839" s="14" t="str">
        <f>HYPERLINK("http://twitter.com/download/iphone","Twitter for iPhone")</f>
        <v>Twitter for iPhone</v>
      </c>
      <c r="L839" s="13">
        <v>116</v>
      </c>
      <c r="M839" s="13">
        <v>179</v>
      </c>
      <c r="N839" s="13">
        <v>5</v>
      </c>
      <c r="O839" s="15"/>
      <c r="P839" s="6">
        <v>41210.694363425922</v>
      </c>
      <c r="Q839" s="18" t="s">
        <v>4827</v>
      </c>
      <c r="R839" s="19" t="s">
        <v>4828</v>
      </c>
      <c r="S839" s="12" t="s">
        <v>4829</v>
      </c>
      <c r="T839" s="11"/>
      <c r="U839" s="10" t="str">
        <f>HYPERLINK("https://pbs.twimg.com/profile_images/910224371029090304/YfDtI_gs.jpg","View")</f>
        <v>View</v>
      </c>
    </row>
    <row r="840" spans="1:21" ht="51">
      <c r="A840" s="6">
        <v>43441.898402777777</v>
      </c>
      <c r="B840" s="7" t="str">
        <f>HYPERLINK("https://twitter.com/oscarluislpezg1","@oscarluislpezg1")</f>
        <v>@oscarluislpezg1</v>
      </c>
      <c r="C840" s="8" t="s">
        <v>962</v>
      </c>
      <c r="D840" s="9" t="s">
        <v>4830</v>
      </c>
      <c r="E840" s="10" t="str">
        <f>HYPERLINK("https://twitter.com/oscarluislpezg1/status/1071140716376702978","1071140716376702978")</f>
        <v>1071140716376702978</v>
      </c>
      <c r="F840" s="11"/>
      <c r="G840" s="12" t="s">
        <v>4831</v>
      </c>
      <c r="H840" s="11"/>
      <c r="I840" s="13">
        <v>0</v>
      </c>
      <c r="J840" s="13">
        <v>0</v>
      </c>
      <c r="K840" s="14" t="str">
        <f>HYPERLINK("http://twitter.com/download/android","Twitter for Android")</f>
        <v>Twitter for Android</v>
      </c>
      <c r="L840" s="13">
        <v>122</v>
      </c>
      <c r="M840" s="13">
        <v>316</v>
      </c>
      <c r="N840" s="13">
        <v>0</v>
      </c>
      <c r="O840" s="15"/>
      <c r="P840" s="6">
        <v>43290.956747685181</v>
      </c>
      <c r="Q840" s="18" t="s">
        <v>42</v>
      </c>
      <c r="R840" s="19" t="s">
        <v>969</v>
      </c>
      <c r="S840" s="11"/>
      <c r="T840" s="11"/>
      <c r="U840" s="16" t="s">
        <v>191</v>
      </c>
    </row>
    <row r="841" spans="1:21" ht="30.6">
      <c r="A841" s="6">
        <v>43441.897962962961</v>
      </c>
      <c r="B841" s="7" t="str">
        <f>HYPERLINK("https://twitter.com/MarinoLorenzana","@MarinoLorenzana")</f>
        <v>@MarinoLorenzana</v>
      </c>
      <c r="C841" s="8" t="s">
        <v>4832</v>
      </c>
      <c r="D841" s="9" t="s">
        <v>4468</v>
      </c>
      <c r="E841" s="10" t="str">
        <f>HYPERLINK("https://twitter.com/MarinoLorenzana/status/1071140557915856897","1071140557915856897")</f>
        <v>1071140557915856897</v>
      </c>
      <c r="F841" s="12" t="s">
        <v>1526</v>
      </c>
      <c r="G841" s="11"/>
      <c r="H841" s="11"/>
      <c r="I841" s="13">
        <v>0</v>
      </c>
      <c r="J841" s="13">
        <v>0</v>
      </c>
      <c r="K841" s="14" t="str">
        <f>HYPERLINK("http://twitter.com","Twitter Web Client")</f>
        <v>Twitter Web Client</v>
      </c>
      <c r="L841" s="13">
        <v>808</v>
      </c>
      <c r="M841" s="13">
        <v>1197</v>
      </c>
      <c r="N841" s="13">
        <v>7</v>
      </c>
      <c r="O841" s="15"/>
      <c r="P841" s="6">
        <v>40673.735162037039</v>
      </c>
      <c r="Q841" s="18" t="s">
        <v>4833</v>
      </c>
      <c r="R841" s="19" t="s">
        <v>4834</v>
      </c>
      <c r="S841" s="11"/>
      <c r="T841" s="11"/>
      <c r="U841" s="10" t="str">
        <f>HYPERLINK("https://pbs.twimg.com/profile_images/1017122616988053505/AXNCz9qv.jpg","View")</f>
        <v>View</v>
      </c>
    </row>
    <row r="842" spans="1:21" ht="40.799999999999997">
      <c r="A842" s="6">
        <v>43441.895902777775</v>
      </c>
      <c r="B842" s="7" t="str">
        <f>HYPERLINK("https://twitter.com/ERatpack","@ERatpack")</f>
        <v>@ERatpack</v>
      </c>
      <c r="C842" s="8" t="s">
        <v>4835</v>
      </c>
      <c r="D842" s="9" t="s">
        <v>4836</v>
      </c>
      <c r="E842" s="10" t="str">
        <f>HYPERLINK("https://twitter.com/ERatpack/status/1071139813376573440","1071139813376573440")</f>
        <v>1071139813376573440</v>
      </c>
      <c r="F842" s="11"/>
      <c r="G842" s="12" t="s">
        <v>4837</v>
      </c>
      <c r="H842" s="11"/>
      <c r="I842" s="13">
        <v>0</v>
      </c>
      <c r="J842" s="13">
        <v>0</v>
      </c>
      <c r="K842" s="14" t="str">
        <f>HYPERLINK("http://twitter.com/download/android","Twitter for Android")</f>
        <v>Twitter for Android</v>
      </c>
      <c r="L842" s="13">
        <v>339</v>
      </c>
      <c r="M842" s="13">
        <v>298</v>
      </c>
      <c r="N842" s="13">
        <v>2</v>
      </c>
      <c r="O842" s="15"/>
      <c r="P842" s="6">
        <v>42978.848900462966</v>
      </c>
      <c r="Q842" s="11"/>
      <c r="R842" s="19" t="s">
        <v>4838</v>
      </c>
      <c r="S842" s="12" t="s">
        <v>4839</v>
      </c>
      <c r="T842" s="11"/>
      <c r="U842" s="10" t="str">
        <f>HYPERLINK("https://pbs.twimg.com/profile_images/1032412413243547650/uxlFsPHi.jpg","View")</f>
        <v>View</v>
      </c>
    </row>
    <row r="843" spans="1:21" ht="13.2">
      <c r="A843" s="6">
        <v>43441.89461805555</v>
      </c>
      <c r="B843" s="7" t="str">
        <f>HYPERLINK("https://twitter.com/PizaniLeonardo","@PizaniLeonardo")</f>
        <v>@PizaniLeonardo</v>
      </c>
      <c r="C843" s="8" t="s">
        <v>4840</v>
      </c>
      <c r="D843" s="9" t="s">
        <v>4841</v>
      </c>
      <c r="E843" s="10" t="str">
        <f>HYPERLINK("https://twitter.com/PizaniLeonardo/status/1071139345443233792","1071139345443233792")</f>
        <v>1071139345443233792</v>
      </c>
      <c r="F843" s="12" t="s">
        <v>4842</v>
      </c>
      <c r="G843" s="11"/>
      <c r="H843" s="11"/>
      <c r="I843" s="13">
        <v>0</v>
      </c>
      <c r="J843" s="13">
        <v>1</v>
      </c>
      <c r="K843" s="14" t="str">
        <f>HYPERLINK("http://twitter.com","Twitter Web Client")</f>
        <v>Twitter Web Client</v>
      </c>
      <c r="L843" s="13">
        <v>544</v>
      </c>
      <c r="M843" s="13">
        <v>741</v>
      </c>
      <c r="N843" s="13">
        <v>5</v>
      </c>
      <c r="O843" s="15"/>
      <c r="P843" s="6">
        <v>41563.766574074078</v>
      </c>
      <c r="Q843" s="11"/>
      <c r="R843" s="17"/>
      <c r="S843" s="11"/>
      <c r="T843" s="11"/>
      <c r="U843" s="10" t="str">
        <f>HYPERLINK("https://pbs.twimg.com/profile_images/870655290680725506/LFOhrUpO.jpg","View")</f>
        <v>View</v>
      </c>
    </row>
    <row r="844" spans="1:21" ht="40.799999999999997">
      <c r="A844" s="6">
        <v>43441.893692129626</v>
      </c>
      <c r="B844" s="7" t="str">
        <f>HYPERLINK("https://twitter.com/FlavioElvespa","@FlavioElvespa")</f>
        <v>@FlavioElvespa</v>
      </c>
      <c r="C844" s="8" t="s">
        <v>1586</v>
      </c>
      <c r="D844" s="9" t="s">
        <v>1587</v>
      </c>
      <c r="E844" s="10" t="str">
        <f>HYPERLINK("https://twitter.com/FlavioElvespa/status/1071139008506408960","1071139008506408960")</f>
        <v>1071139008506408960</v>
      </c>
      <c r="F844" s="11"/>
      <c r="G844" s="12" t="s">
        <v>1589</v>
      </c>
      <c r="H844" s="11"/>
      <c r="I844" s="13">
        <v>0</v>
      </c>
      <c r="J844" s="13">
        <v>0</v>
      </c>
      <c r="K844" s="14" t="str">
        <f>HYPERLINK("http://twitter.com/download/iphone","Twitter for iPhone")</f>
        <v>Twitter for iPhone</v>
      </c>
      <c r="L844" s="13">
        <v>359</v>
      </c>
      <c r="M844" s="13">
        <v>595</v>
      </c>
      <c r="N844" s="13">
        <v>1</v>
      </c>
      <c r="O844" s="15"/>
      <c r="P844" s="6">
        <v>43025.500428240739</v>
      </c>
      <c r="Q844" s="18" t="s">
        <v>671</v>
      </c>
      <c r="R844" s="17"/>
      <c r="S844" s="11"/>
      <c r="T844" s="11"/>
      <c r="U844" s="10" t="str">
        <f>HYPERLINK("https://pbs.twimg.com/profile_images/941668501781209094/xxgijaXr.jpg","View")</f>
        <v>View</v>
      </c>
    </row>
    <row r="845" spans="1:21" ht="30.6">
      <c r="A845" s="6">
        <v>43441.893564814818</v>
      </c>
      <c r="B845" s="7" t="str">
        <f>HYPERLINK("https://twitter.com/mota_elias","@mota_elias")</f>
        <v>@mota_elias</v>
      </c>
      <c r="C845" s="8" t="s">
        <v>4843</v>
      </c>
      <c r="D845" s="9" t="s">
        <v>1152</v>
      </c>
      <c r="E845" s="10" t="str">
        <f>HYPERLINK("https://twitter.com/mota_elias/status/1071138965430902784","1071138965430902784")</f>
        <v>1071138965430902784</v>
      </c>
      <c r="F845" s="12" t="s">
        <v>4844</v>
      </c>
      <c r="G845" s="11"/>
      <c r="H845" s="11"/>
      <c r="I845" s="13">
        <v>0</v>
      </c>
      <c r="J845" s="13">
        <v>0</v>
      </c>
      <c r="K845" s="14" t="str">
        <f>HYPERLINK("http://twitter.com","Twitter Web Client")</f>
        <v>Twitter Web Client</v>
      </c>
      <c r="L845" s="13">
        <v>1091</v>
      </c>
      <c r="M845" s="13">
        <v>2180</v>
      </c>
      <c r="N845" s="13">
        <v>10</v>
      </c>
      <c r="O845" s="15"/>
      <c r="P845" s="6">
        <v>40724.906284722223</v>
      </c>
      <c r="Q845" s="18" t="s">
        <v>942</v>
      </c>
      <c r="R845" s="19" t="s">
        <v>4845</v>
      </c>
      <c r="S845" s="11"/>
      <c r="T845" s="11"/>
      <c r="U845" s="10" t="str">
        <f>HYPERLINK("https://pbs.twimg.com/profile_images/773973709292011520/nOZIV7Vy.jpg","View")</f>
        <v>View</v>
      </c>
    </row>
    <row r="846" spans="1:21" ht="51">
      <c r="A846" s="6">
        <v>43441.893425925926</v>
      </c>
      <c r="B846" s="7" t="str">
        <f>HYPERLINK("https://twitter.com/TywwinLannister","@TywwinLannister")</f>
        <v>@TywwinLannister</v>
      </c>
      <c r="C846" s="8" t="s">
        <v>4846</v>
      </c>
      <c r="D846" s="9" t="s">
        <v>4847</v>
      </c>
      <c r="E846" s="10" t="str">
        <f>HYPERLINK("https://twitter.com/TywwinLannister/status/1071138914377916416","1071138914377916416")</f>
        <v>1071138914377916416</v>
      </c>
      <c r="F846" s="11"/>
      <c r="G846" s="11"/>
      <c r="H846" s="11"/>
      <c r="I846" s="13">
        <v>15</v>
      </c>
      <c r="J846" s="13">
        <v>19</v>
      </c>
      <c r="K846" s="14" t="str">
        <f t="shared" ref="K846:K848" si="162">HYPERLINK("http://twitter.com/download/android","Twitter for Android")</f>
        <v>Twitter for Android</v>
      </c>
      <c r="L846" s="13">
        <v>778</v>
      </c>
      <c r="M846" s="13">
        <v>421</v>
      </c>
      <c r="N846" s="13">
        <v>4</v>
      </c>
      <c r="O846" s="15"/>
      <c r="P846" s="6">
        <v>42905.979641203703</v>
      </c>
      <c r="Q846" s="18" t="s">
        <v>4848</v>
      </c>
      <c r="R846" s="19" t="s">
        <v>4849</v>
      </c>
      <c r="S846" s="11"/>
      <c r="T846" s="11"/>
      <c r="U846" s="10" t="str">
        <f>HYPERLINK("https://pbs.twimg.com/profile_images/979821325270290433/kL8QqU3N.jpg","View")</f>
        <v>View</v>
      </c>
    </row>
    <row r="847" spans="1:21" ht="51">
      <c r="A847" s="6">
        <v>43441.893194444448</v>
      </c>
      <c r="B847" s="7" t="str">
        <f>HYPERLINK("https://twitter.com/Javcabrera","@Javcabrera")</f>
        <v>@Javcabrera</v>
      </c>
      <c r="C847" s="8" t="s">
        <v>1783</v>
      </c>
      <c r="D847" s="9" t="s">
        <v>4850</v>
      </c>
      <c r="E847" s="10" t="str">
        <f>HYPERLINK("https://twitter.com/Javcabrera/status/1071138830252732417","1071138830252732417")</f>
        <v>1071138830252732417</v>
      </c>
      <c r="F847" s="12" t="s">
        <v>4851</v>
      </c>
      <c r="G847" s="11"/>
      <c r="H847" s="11"/>
      <c r="I847" s="13">
        <v>0</v>
      </c>
      <c r="J847" s="13">
        <v>0</v>
      </c>
      <c r="K847" s="14" t="str">
        <f t="shared" si="162"/>
        <v>Twitter for Android</v>
      </c>
      <c r="L847" s="13">
        <v>2790</v>
      </c>
      <c r="M847" s="13">
        <v>3070</v>
      </c>
      <c r="N847" s="13">
        <v>25</v>
      </c>
      <c r="O847" s="15"/>
      <c r="P847" s="6">
        <v>40625.778692129628</v>
      </c>
      <c r="Q847" s="11"/>
      <c r="R847" s="17"/>
      <c r="S847" s="11"/>
      <c r="T847" s="11"/>
      <c r="U847" s="10" t="str">
        <f>HYPERLINK("https://pbs.twimg.com/profile_images/568806254231842816/IkKFikLK.jpeg","View")</f>
        <v>View</v>
      </c>
    </row>
    <row r="848" spans="1:21" ht="51">
      <c r="A848" s="6">
        <v>43441.892997685187</v>
      </c>
      <c r="B848" s="7" t="str">
        <f>HYPERLINK("https://twitter.com/Dolors63","@Dolors63")</f>
        <v>@Dolors63</v>
      </c>
      <c r="C848" s="8" t="s">
        <v>1594</v>
      </c>
      <c r="D848" s="9" t="s">
        <v>1595</v>
      </c>
      <c r="E848" s="10" t="str">
        <f>HYPERLINK("https://twitter.com/Dolors63/status/1071138759754821632","1071138759754821632")</f>
        <v>1071138759754821632</v>
      </c>
      <c r="F848" s="12" t="s">
        <v>1596</v>
      </c>
      <c r="G848" s="11"/>
      <c r="H848" s="11"/>
      <c r="I848" s="13">
        <v>2</v>
      </c>
      <c r="J848" s="13">
        <v>3</v>
      </c>
      <c r="K848" s="14" t="str">
        <f t="shared" si="162"/>
        <v>Twitter for Android</v>
      </c>
      <c r="L848" s="13">
        <v>4950</v>
      </c>
      <c r="M848" s="13">
        <v>1460</v>
      </c>
      <c r="N848" s="13">
        <v>87</v>
      </c>
      <c r="O848" s="15"/>
      <c r="P848" s="6">
        <v>40227.846342592595</v>
      </c>
      <c r="Q848" s="18" t="s">
        <v>1597</v>
      </c>
      <c r="R848" s="19" t="s">
        <v>1598</v>
      </c>
      <c r="S848" s="11"/>
      <c r="T848" s="11"/>
      <c r="U848" s="10" t="str">
        <f>HYPERLINK("https://pbs.twimg.com/profile_images/1045352705391095808/Rv1DVYFR.jpg","View")</f>
        <v>View</v>
      </c>
    </row>
    <row r="849" spans="1:21" ht="81.599999999999994">
      <c r="A849" s="6">
        <v>43441.892118055555</v>
      </c>
      <c r="B849" s="7" t="str">
        <f>HYPERLINK("https://twitter.com/correoso28","@correoso28")</f>
        <v>@correoso28</v>
      </c>
      <c r="C849" s="8" t="s">
        <v>1601</v>
      </c>
      <c r="D849" s="9" t="s">
        <v>1602</v>
      </c>
      <c r="E849" s="10" t="str">
        <f>HYPERLINK("https://twitter.com/correoso28/status/1071138439444221957","1071138439444221957")</f>
        <v>1071138439444221957</v>
      </c>
      <c r="F849" s="12" t="s">
        <v>44</v>
      </c>
      <c r="G849" s="11"/>
      <c r="H849" s="11"/>
      <c r="I849" s="13">
        <v>0</v>
      </c>
      <c r="J849" s="13">
        <v>0</v>
      </c>
      <c r="K849" s="14" t="str">
        <f>HYPERLINK("http://twitter.com/download/iphone","Twitter for iPhone")</f>
        <v>Twitter for iPhone</v>
      </c>
      <c r="L849" s="13">
        <v>466</v>
      </c>
      <c r="M849" s="13">
        <v>403</v>
      </c>
      <c r="N849" s="13">
        <v>0</v>
      </c>
      <c r="O849" s="15"/>
      <c r="P849" s="6">
        <v>40627.848912037036</v>
      </c>
      <c r="Q849" s="11"/>
      <c r="R849" s="19" t="s">
        <v>1607</v>
      </c>
      <c r="S849" s="11"/>
      <c r="T849" s="11"/>
      <c r="U849" s="10" t="str">
        <f>HYPERLINK("https://pbs.twimg.com/profile_images/979008977932574721/eubJErrR.jpg","View")</f>
        <v>View</v>
      </c>
    </row>
    <row r="850" spans="1:21" ht="40.799999999999997">
      <c r="A850" s="6">
        <v>43441.89130787037</v>
      </c>
      <c r="B850" s="7" t="str">
        <f>HYPERLINK("https://twitter.com/joselu_vlcia","@joselu_vlcia")</f>
        <v>@joselu_vlcia</v>
      </c>
      <c r="C850" s="8" t="s">
        <v>1611</v>
      </c>
      <c r="D850" s="9" t="s">
        <v>1612</v>
      </c>
      <c r="E850" s="10" t="str">
        <f>HYPERLINK("https://twitter.com/joselu_vlcia/status/1071138147168411648","1071138147168411648")</f>
        <v>1071138147168411648</v>
      </c>
      <c r="F850" s="11"/>
      <c r="G850" s="12" t="s">
        <v>1615</v>
      </c>
      <c r="H850" s="11"/>
      <c r="I850" s="13">
        <v>39</v>
      </c>
      <c r="J850" s="13">
        <v>51</v>
      </c>
      <c r="K850" s="14" t="str">
        <f>HYPERLINK("http://twitter.com","Twitter Web Client")</f>
        <v>Twitter Web Client</v>
      </c>
      <c r="L850" s="13">
        <v>216</v>
      </c>
      <c r="M850" s="13">
        <v>317</v>
      </c>
      <c r="N850" s="13">
        <v>4</v>
      </c>
      <c r="O850" s="15"/>
      <c r="P850" s="6">
        <v>41570.799201388887</v>
      </c>
      <c r="Q850" s="18" t="s">
        <v>1616</v>
      </c>
      <c r="R850" s="19" t="s">
        <v>1617</v>
      </c>
      <c r="S850" s="11"/>
      <c r="T850" s="11"/>
      <c r="U850" s="10" t="str">
        <f>HYPERLINK("https://pbs.twimg.com/profile_images/967767984218492928/R7VE4fGL.jpg","View")</f>
        <v>View</v>
      </c>
    </row>
    <row r="851" spans="1:21" ht="40.799999999999997">
      <c r="A851" s="6">
        <v>43441.890972222223</v>
      </c>
      <c r="B851" s="7" t="str">
        <f>HYPERLINK("https://twitter.com/CarlosyAndaluz","@CarlosyAndaluz")</f>
        <v>@CarlosyAndaluz</v>
      </c>
      <c r="C851" s="8" t="s">
        <v>1618</v>
      </c>
      <c r="D851" s="9" t="s">
        <v>1619</v>
      </c>
      <c r="E851" s="10" t="str">
        <f>HYPERLINK("https://twitter.com/CarlosyAndaluz/status/1071138024031965184","1071138024031965184")</f>
        <v>1071138024031965184</v>
      </c>
      <c r="F851" s="11"/>
      <c r="G851" s="12" t="s">
        <v>1620</v>
      </c>
      <c r="H851" s="11"/>
      <c r="I851" s="13">
        <v>0</v>
      </c>
      <c r="J851" s="13">
        <v>0</v>
      </c>
      <c r="K851" s="14" t="str">
        <f>HYPERLINK("https://about.twitter.com/products/tweetdeck","TweetDeck")</f>
        <v>TweetDeck</v>
      </c>
      <c r="L851" s="13">
        <v>3282</v>
      </c>
      <c r="M851" s="13">
        <v>2809</v>
      </c>
      <c r="N851" s="13">
        <v>41</v>
      </c>
      <c r="O851" s="15"/>
      <c r="P851" s="6">
        <v>40692.512337962966</v>
      </c>
      <c r="Q851" s="18" t="s">
        <v>192</v>
      </c>
      <c r="R851" s="19" t="s">
        <v>1623</v>
      </c>
      <c r="S851" s="12" t="s">
        <v>1624</v>
      </c>
      <c r="T851" s="11"/>
      <c r="U851" s="10" t="str">
        <f>HYPERLINK("https://pbs.twimg.com/profile_images/1069617575171117056/DoHtI4ro.jpg","View")</f>
        <v>View</v>
      </c>
    </row>
    <row r="852" spans="1:21" ht="20.399999999999999">
      <c r="A852" s="6">
        <v>43441.890868055554</v>
      </c>
      <c r="B852" s="7" t="str">
        <f>HYPERLINK("https://twitter.com/diazlorena234","@diazlorena234")</f>
        <v>@diazlorena234</v>
      </c>
      <c r="C852" s="8" t="s">
        <v>4852</v>
      </c>
      <c r="D852" s="9" t="s">
        <v>4853</v>
      </c>
      <c r="E852" s="10" t="str">
        <f>HYPERLINK("https://twitter.com/diazlorena234/status/1071137988330119170","1071137988330119170")</f>
        <v>1071137988330119170</v>
      </c>
      <c r="F852" s="12" t="s">
        <v>4854</v>
      </c>
      <c r="G852" s="11"/>
      <c r="H852" s="11"/>
      <c r="I852" s="13">
        <v>0</v>
      </c>
      <c r="J852" s="13">
        <v>0</v>
      </c>
      <c r="K852" s="14" t="str">
        <f>HYPERLINK("http://twitter.com","Twitter Web Client")</f>
        <v>Twitter Web Client</v>
      </c>
      <c r="L852" s="13">
        <v>2150</v>
      </c>
      <c r="M852" s="13">
        <v>4582</v>
      </c>
      <c r="N852" s="13">
        <v>5</v>
      </c>
      <c r="O852" s="15"/>
      <c r="P852" s="6">
        <v>42489.030752314815</v>
      </c>
      <c r="Q852" s="11"/>
      <c r="R852" s="17"/>
      <c r="S852" s="11"/>
      <c r="T852" s="11"/>
      <c r="U852" s="10" t="str">
        <f>HYPERLINK("https://pbs.twimg.com/profile_images/1070151673216200704/9P8dPVWF.jpg","View")</f>
        <v>View</v>
      </c>
    </row>
    <row r="853" spans="1:21" ht="51">
      <c r="A853" s="6">
        <v>43441.890520833331</v>
      </c>
      <c r="B853" s="7" t="str">
        <f>HYPERLINK("https://twitter.com/ascengm","@ascengm")</f>
        <v>@ascengm</v>
      </c>
      <c r="C853" s="8" t="s">
        <v>4855</v>
      </c>
      <c r="D853" s="9" t="s">
        <v>4856</v>
      </c>
      <c r="E853" s="10" t="str">
        <f>HYPERLINK("https://twitter.com/ascengm/status/1071137860470956041","1071137860470956041")</f>
        <v>1071137860470956041</v>
      </c>
      <c r="F853" s="12" t="s">
        <v>4857</v>
      </c>
      <c r="G853" s="11"/>
      <c r="H853" s="11"/>
      <c r="I853" s="13">
        <v>0</v>
      </c>
      <c r="J853" s="13">
        <v>0</v>
      </c>
      <c r="K853" s="14" t="str">
        <f t="shared" ref="K853:K854" si="163">HYPERLINK("http://twitter.com/download/android","Twitter for Android")</f>
        <v>Twitter for Android</v>
      </c>
      <c r="L853" s="13">
        <v>646</v>
      </c>
      <c r="M853" s="13">
        <v>513</v>
      </c>
      <c r="N853" s="13">
        <v>12</v>
      </c>
      <c r="O853" s="15"/>
      <c r="P853" s="6">
        <v>41295.784224537041</v>
      </c>
      <c r="Q853" s="18" t="s">
        <v>1278</v>
      </c>
      <c r="R853" s="19" t="s">
        <v>4858</v>
      </c>
      <c r="S853" s="11"/>
      <c r="T853" s="11"/>
      <c r="U853" s="10" t="str">
        <f>HYPERLINK("https://pbs.twimg.com/profile_images/1050451371500204032/hECgLNGO.jpg","View")</f>
        <v>View</v>
      </c>
    </row>
    <row r="854" spans="1:21" ht="40.799999999999997">
      <c r="A854" s="6">
        <v>43441.89025462963</v>
      </c>
      <c r="B854" s="7" t="str">
        <f>HYPERLINK("https://twitter.com/roigrules","@roigrules")</f>
        <v>@roigrules</v>
      </c>
      <c r="C854" s="8" t="s">
        <v>1626</v>
      </c>
      <c r="D854" s="9" t="s">
        <v>1628</v>
      </c>
      <c r="E854" s="10" t="str">
        <f>HYPERLINK("https://twitter.com/roigrules/status/1071137764236763137","1071137764236763137")</f>
        <v>1071137764236763137</v>
      </c>
      <c r="F854" s="12" t="s">
        <v>1631</v>
      </c>
      <c r="G854" s="11"/>
      <c r="H854" s="11"/>
      <c r="I854" s="13">
        <v>0</v>
      </c>
      <c r="J854" s="13">
        <v>0</v>
      </c>
      <c r="K854" s="14" t="str">
        <f t="shared" si="163"/>
        <v>Twitter for Android</v>
      </c>
      <c r="L854" s="13">
        <v>22</v>
      </c>
      <c r="M854" s="13">
        <v>65</v>
      </c>
      <c r="N854" s="13">
        <v>0</v>
      </c>
      <c r="O854" s="15"/>
      <c r="P854" s="6">
        <v>41656.487314814818</v>
      </c>
      <c r="Q854" s="11"/>
      <c r="R854" s="17"/>
      <c r="S854" s="11"/>
      <c r="T854" s="11"/>
      <c r="U854" s="10" t="str">
        <f>HYPERLINK("https://pbs.twimg.com/profile_images/1058449598254059520/lY6JprHh.jpg","View")</f>
        <v>View</v>
      </c>
    </row>
    <row r="855" spans="1:21" ht="61.2">
      <c r="A855" s="6">
        <v>43441.88795138889</v>
      </c>
      <c r="B855" s="7" t="str">
        <f>HYPERLINK("https://twitter.com/rastrojul","@rastrojul")</f>
        <v>@rastrojul</v>
      </c>
      <c r="C855" s="8" t="s">
        <v>1648</v>
      </c>
      <c r="D855" s="9" t="s">
        <v>1649</v>
      </c>
      <c r="E855" s="10" t="str">
        <f>HYPERLINK("https://twitter.com/rastrojul/status/1071136931940065280","1071136931940065280")</f>
        <v>1071136931940065280</v>
      </c>
      <c r="F855" s="11"/>
      <c r="G855" s="11"/>
      <c r="H855" s="11"/>
      <c r="I855" s="13">
        <v>0</v>
      </c>
      <c r="J855" s="13">
        <v>0</v>
      </c>
      <c r="K855" s="14" t="str">
        <f>HYPERLINK("http://twitter.com/download/iphone","Twitter for iPhone")</f>
        <v>Twitter for iPhone</v>
      </c>
      <c r="L855" s="13">
        <v>23</v>
      </c>
      <c r="M855" s="13">
        <v>91</v>
      </c>
      <c r="N855" s="13">
        <v>0</v>
      </c>
      <c r="O855" s="15"/>
      <c r="P855" s="6">
        <v>40584.857071759259</v>
      </c>
      <c r="Q855" s="11"/>
      <c r="R855" s="17"/>
      <c r="S855" s="11"/>
      <c r="T855" s="11"/>
      <c r="U855" s="10" t="str">
        <f>HYPERLINK("https://pbs.twimg.com/profile_images/915239269106626561/Ygj3coCt.jpg","View")</f>
        <v>View</v>
      </c>
    </row>
    <row r="856" spans="1:21" ht="91.8">
      <c r="A856" s="6">
        <v>43441.887685185182</v>
      </c>
      <c r="B856" s="7" t="str">
        <f>HYPERLINK("https://twitter.com/abian15medina","@abian15medina")</f>
        <v>@abian15medina</v>
      </c>
      <c r="C856" s="8" t="s">
        <v>1651</v>
      </c>
      <c r="D856" s="9" t="s">
        <v>1652</v>
      </c>
      <c r="E856" s="10" t="str">
        <f>HYPERLINK("https://twitter.com/abian15medina/status/1071136831574605824","1071136831574605824")</f>
        <v>1071136831574605824</v>
      </c>
      <c r="F856" s="18" t="s">
        <v>961</v>
      </c>
      <c r="G856" s="11"/>
      <c r="H856" s="11"/>
      <c r="I856" s="13">
        <v>0</v>
      </c>
      <c r="J856" s="13">
        <v>0</v>
      </c>
      <c r="K856" s="14" t="str">
        <f>HYPERLINK("http://twitter.com/download/android","Twitter for Android")</f>
        <v>Twitter for Android</v>
      </c>
      <c r="L856" s="13">
        <v>168</v>
      </c>
      <c r="M856" s="13">
        <v>258</v>
      </c>
      <c r="N856" s="13">
        <v>1</v>
      </c>
      <c r="O856" s="15"/>
      <c r="P856" s="6">
        <v>41452.809189814812</v>
      </c>
      <c r="Q856" s="11"/>
      <c r="R856" s="19" t="s">
        <v>1654</v>
      </c>
      <c r="S856" s="11"/>
      <c r="T856" s="11"/>
      <c r="U856" s="10" t="str">
        <f>HYPERLINK("https://pbs.twimg.com/profile_images/1071119849596878848/dxVzU8WU.jpg","View")</f>
        <v>View</v>
      </c>
    </row>
    <row r="857" spans="1:21" ht="20.399999999999999">
      <c r="A857" s="6">
        <v>43441.886967592596</v>
      </c>
      <c r="B857" s="7" t="str">
        <f>HYPERLINK("https://twitter.com/georgeorwell67","@georgeorwell67")</f>
        <v>@georgeorwell67</v>
      </c>
      <c r="C857" s="8" t="s">
        <v>4861</v>
      </c>
      <c r="D857" s="9" t="s">
        <v>4659</v>
      </c>
      <c r="E857" s="10" t="str">
        <f>HYPERLINK("https://twitter.com/georgeorwell67/status/1071136574820225024","1071136574820225024")</f>
        <v>1071136574820225024</v>
      </c>
      <c r="F857" s="12" t="s">
        <v>4862</v>
      </c>
      <c r="G857" s="11"/>
      <c r="H857" s="11"/>
      <c r="I857" s="13">
        <v>0</v>
      </c>
      <c r="J857" s="13">
        <v>1</v>
      </c>
      <c r="K857" s="14" t="str">
        <f>HYPERLINK("https://ifttt.com","IFTTT")</f>
        <v>IFTTT</v>
      </c>
      <c r="L857" s="13">
        <v>444</v>
      </c>
      <c r="M857" s="13">
        <v>549</v>
      </c>
      <c r="N857" s="13">
        <v>3</v>
      </c>
      <c r="O857" s="15"/>
      <c r="P857" s="6">
        <v>43016.365393518514</v>
      </c>
      <c r="Q857" s="11"/>
      <c r="R857" s="19" t="s">
        <v>4863</v>
      </c>
      <c r="S857" s="12" t="s">
        <v>4864</v>
      </c>
      <c r="T857" s="11"/>
      <c r="U857" s="10" t="str">
        <f>HYPERLINK("https://pbs.twimg.com/profile_images/916919096771571712/VCjSBSiy.jpg","View")</f>
        <v>View</v>
      </c>
    </row>
    <row r="858" spans="1:21" ht="40.799999999999997">
      <c r="A858" s="6">
        <v>43441.88680555555</v>
      </c>
      <c r="B858" s="7" t="str">
        <f>HYPERLINK("https://twitter.com/Pablo_Iglesias_","@Pablo_Iglesias_")</f>
        <v>@Pablo_Iglesias_</v>
      </c>
      <c r="C858" s="8" t="s">
        <v>1532</v>
      </c>
      <c r="D858" s="9" t="s">
        <v>4865</v>
      </c>
      <c r="E858" s="10" t="str">
        <f>HYPERLINK("https://twitter.com/Pablo_Iglesias_/status/1071136513881071616","1071136513881071616")</f>
        <v>1071136513881071616</v>
      </c>
      <c r="F858" s="12" t="s">
        <v>4228</v>
      </c>
      <c r="G858" s="11"/>
      <c r="H858" s="11"/>
      <c r="I858" s="13">
        <v>138</v>
      </c>
      <c r="J858" s="13">
        <v>274</v>
      </c>
      <c r="K858" s="14" t="str">
        <f>HYPERLINK("https://about.twitter.com/products/tweetdeck","TweetDeck")</f>
        <v>TweetDeck</v>
      </c>
      <c r="L858" s="13">
        <v>2243645</v>
      </c>
      <c r="M858" s="13">
        <v>2745</v>
      </c>
      <c r="N858" s="13">
        <v>8492</v>
      </c>
      <c r="O858" s="16" t="s">
        <v>25</v>
      </c>
      <c r="P858" s="6">
        <v>40351.575300925928</v>
      </c>
      <c r="Q858" s="18" t="s">
        <v>307</v>
      </c>
      <c r="R858" s="19" t="s">
        <v>1538</v>
      </c>
      <c r="S858" s="12" t="s">
        <v>1539</v>
      </c>
      <c r="T858" s="11"/>
      <c r="U858" s="10" t="str">
        <f>HYPERLINK("https://pbs.twimg.com/profile_images/902223370569338884/dL2D2A5P.jpg","View")</f>
        <v>View</v>
      </c>
    </row>
    <row r="859" spans="1:21" ht="91.8">
      <c r="A859" s="6">
        <v>43441.88581018518</v>
      </c>
      <c r="B859" s="7" t="str">
        <f>HYPERLINK("https://twitter.com/CruzTemplaria","@CruzTemplaria")</f>
        <v>@CruzTemplaria</v>
      </c>
      <c r="C859" s="8" t="s">
        <v>1655</v>
      </c>
      <c r="D859" s="9" t="s">
        <v>1656</v>
      </c>
      <c r="E859" s="10" t="str">
        <f>HYPERLINK("https://twitter.com/CruzTemplaria/status/1071136154400014337","1071136154400014337")</f>
        <v>1071136154400014337</v>
      </c>
      <c r="F859" s="18" t="s">
        <v>1456</v>
      </c>
      <c r="G859" s="11"/>
      <c r="H859" s="11"/>
      <c r="I859" s="13">
        <v>1</v>
      </c>
      <c r="J859" s="13">
        <v>4</v>
      </c>
      <c r="K859" s="14" t="str">
        <f>HYPERLINK("http://twitter.com/download/iphone","Twitter for iPhone")</f>
        <v>Twitter for iPhone</v>
      </c>
      <c r="L859" s="13">
        <v>3525</v>
      </c>
      <c r="M859" s="13">
        <v>150</v>
      </c>
      <c r="N859" s="13">
        <v>49</v>
      </c>
      <c r="O859" s="15"/>
      <c r="P859" s="6">
        <v>41283.711238425924</v>
      </c>
      <c r="Q859" s="11"/>
      <c r="R859" s="19" t="s">
        <v>1657</v>
      </c>
      <c r="S859" s="11"/>
      <c r="T859" s="11"/>
      <c r="U859" s="10" t="str">
        <f>HYPERLINK("https://pbs.twimg.com/profile_images/802444271836078080/o5puksXN.jpg","View")</f>
        <v>View</v>
      </c>
    </row>
    <row r="860" spans="1:21" ht="30.6">
      <c r="A860" s="6">
        <v>43441.885717592595</v>
      </c>
      <c r="B860" s="7" t="str">
        <f>HYPERLINK("https://twitter.com/manolo46401","@manolo46401")</f>
        <v>@manolo46401</v>
      </c>
      <c r="C860" s="8" t="s">
        <v>4866</v>
      </c>
      <c r="D860" s="9" t="s">
        <v>137</v>
      </c>
      <c r="E860" s="10" t="str">
        <f>HYPERLINK("https://twitter.com/manolo46401/status/1071136120799416320","1071136120799416320")</f>
        <v>1071136120799416320</v>
      </c>
      <c r="F860" s="12" t="s">
        <v>4867</v>
      </c>
      <c r="G860" s="11"/>
      <c r="H860" s="11"/>
      <c r="I860" s="13">
        <v>2</v>
      </c>
      <c r="J860" s="13">
        <v>1</v>
      </c>
      <c r="K860" s="14" t="str">
        <f>HYPERLINK("http://twitter.com/download/android","Twitter for Android")</f>
        <v>Twitter for Android</v>
      </c>
      <c r="L860" s="13">
        <v>1899</v>
      </c>
      <c r="M860" s="13">
        <v>2139</v>
      </c>
      <c r="N860" s="13">
        <v>3</v>
      </c>
      <c r="O860" s="15"/>
      <c r="P860" s="6">
        <v>42561.566377314812</v>
      </c>
      <c r="Q860" s="18" t="s">
        <v>4868</v>
      </c>
      <c r="R860" s="19" t="s">
        <v>4869</v>
      </c>
      <c r="S860" s="11"/>
      <c r="T860" s="11"/>
      <c r="U860" s="10" t="str">
        <f>HYPERLINK("https://pbs.twimg.com/profile_images/946106599428456448/_H2uvFup.jpg","View")</f>
        <v>View</v>
      </c>
    </row>
    <row r="861" spans="1:21" ht="40.799999999999997">
      <c r="A861" s="6">
        <v>43441.885497685187</v>
      </c>
      <c r="B861" s="7" t="str">
        <f>HYPERLINK("https://twitter.com/elentirvigo","@elentirvigo")</f>
        <v>@elentirvigo</v>
      </c>
      <c r="C861" s="8" t="s">
        <v>4870</v>
      </c>
      <c r="D861" s="9" t="s">
        <v>4871</v>
      </c>
      <c r="E861" s="10" t="str">
        <f>HYPERLINK("https://twitter.com/elentirvigo/status/1071136042030415876","1071136042030415876")</f>
        <v>1071136042030415876</v>
      </c>
      <c r="F861" s="12" t="s">
        <v>296</v>
      </c>
      <c r="G861" s="11"/>
      <c r="H861" s="11"/>
      <c r="I861" s="13">
        <v>195</v>
      </c>
      <c r="J861" s="13">
        <v>260</v>
      </c>
      <c r="K861" s="14" t="str">
        <f>HYPERLINK("http://twitter.com","Twitter Web Client")</f>
        <v>Twitter Web Client</v>
      </c>
      <c r="L861" s="13">
        <v>16701</v>
      </c>
      <c r="M861" s="13">
        <v>889</v>
      </c>
      <c r="N861" s="13">
        <v>402</v>
      </c>
      <c r="O861" s="15"/>
      <c r="P861" s="6">
        <v>39478.091956018521</v>
      </c>
      <c r="Q861" s="18" t="s">
        <v>4872</v>
      </c>
      <c r="R861" s="19" t="s">
        <v>4873</v>
      </c>
      <c r="S861" s="12" t="s">
        <v>4874</v>
      </c>
      <c r="T861" s="11"/>
      <c r="U861" s="10" t="str">
        <f>HYPERLINK("https://pbs.twimg.com/profile_images/921206855178825733/TTl2kiSU.jpg","View")</f>
        <v>View</v>
      </c>
    </row>
    <row r="862" spans="1:21" ht="40.799999999999997">
      <c r="A862" s="6">
        <v>43441.884687500002</v>
      </c>
      <c r="B862" s="7" t="str">
        <f>HYPERLINK("https://twitter.com/_AngelPerezN","@_AngelPerezN")</f>
        <v>@_AngelPerezN</v>
      </c>
      <c r="C862" s="8" t="s">
        <v>4875</v>
      </c>
      <c r="D862" s="9" t="s">
        <v>4876</v>
      </c>
      <c r="E862" s="10" t="str">
        <f>HYPERLINK("https://twitter.com/_AngelPerezN/status/1071135749033132033","1071135749033132033")</f>
        <v>1071135749033132033</v>
      </c>
      <c r="F862" s="12" t="s">
        <v>4877</v>
      </c>
      <c r="G862" s="11"/>
      <c r="H862" s="11"/>
      <c r="I862" s="13">
        <v>0</v>
      </c>
      <c r="J862" s="13">
        <v>0</v>
      </c>
      <c r="K862" s="14" t="str">
        <f>HYPERLINK("http://twitter.com/download/android","Twitter for Android")</f>
        <v>Twitter for Android</v>
      </c>
      <c r="L862" s="13">
        <v>512</v>
      </c>
      <c r="M862" s="13">
        <v>1924</v>
      </c>
      <c r="N862" s="13">
        <v>0</v>
      </c>
      <c r="O862" s="15"/>
      <c r="P862" s="6">
        <v>41559.949259259258</v>
      </c>
      <c r="Q862" s="11"/>
      <c r="R862" s="19" t="s">
        <v>4878</v>
      </c>
      <c r="S862" s="11"/>
      <c r="T862" s="11"/>
      <c r="U862" s="10" t="str">
        <f>HYPERLINK("https://pbs.twimg.com/profile_images/1064858967006998528/8_QSKuWZ.jpg","View")</f>
        <v>View</v>
      </c>
    </row>
    <row r="863" spans="1:21" ht="71.400000000000006">
      <c r="A863" s="6">
        <v>43441.884293981479</v>
      </c>
      <c r="B863" s="7" t="str">
        <f>HYPERLINK("https://twitter.com/huertaff","@huertaff")</f>
        <v>@huertaff</v>
      </c>
      <c r="C863" s="8" t="s">
        <v>4879</v>
      </c>
      <c r="D863" s="9" t="s">
        <v>4880</v>
      </c>
      <c r="E863" s="10" t="str">
        <f>HYPERLINK("https://twitter.com/huertaff/status/1071135604828725249","1071135604828725249")</f>
        <v>1071135604828725249</v>
      </c>
      <c r="F863" s="12" t="s">
        <v>4881</v>
      </c>
      <c r="G863" s="11"/>
      <c r="H863" s="11"/>
      <c r="I863" s="13">
        <v>0</v>
      </c>
      <c r="J863" s="13">
        <v>0</v>
      </c>
      <c r="K863" s="14" t="str">
        <f>HYPERLINK("http://twitter.com","Twitter Web Client")</f>
        <v>Twitter Web Client</v>
      </c>
      <c r="L863" s="13">
        <v>461</v>
      </c>
      <c r="M863" s="13">
        <v>402</v>
      </c>
      <c r="N863" s="13">
        <v>8</v>
      </c>
      <c r="O863" s="15"/>
      <c r="P863" s="6">
        <v>40634.902870370366</v>
      </c>
      <c r="Q863" s="11"/>
      <c r="R863" s="17"/>
      <c r="S863" s="11"/>
      <c r="T863" s="11"/>
      <c r="U863" s="10" t="str">
        <f>HYPERLINK("https://pbs.twimg.com/profile_images/957916198322298880/S6d6VIrs.jpg","View")</f>
        <v>View</v>
      </c>
    </row>
    <row r="864" spans="1:21" ht="30.6">
      <c r="A864" s="6">
        <v>43441.883379629631</v>
      </c>
      <c r="B864" s="7" t="str">
        <f>HYPERLINK("https://twitter.com/Moggio3","@Moggio3")</f>
        <v>@Moggio3</v>
      </c>
      <c r="C864" s="8" t="s">
        <v>4882</v>
      </c>
      <c r="D864" s="9" t="s">
        <v>4883</v>
      </c>
      <c r="E864" s="10" t="str">
        <f>HYPERLINK("https://twitter.com/Moggio3/status/1071135273625489409","1071135273625489409")</f>
        <v>1071135273625489409</v>
      </c>
      <c r="F864" s="11"/>
      <c r="G864" s="12" t="s">
        <v>4884</v>
      </c>
      <c r="H864" s="11"/>
      <c r="I864" s="13">
        <v>0</v>
      </c>
      <c r="J864" s="13">
        <v>0</v>
      </c>
      <c r="K864" s="14" t="str">
        <f>HYPERLINK("http://twitter.com/download/android","Twitter for Android")</f>
        <v>Twitter for Android</v>
      </c>
      <c r="L864" s="13">
        <v>1421</v>
      </c>
      <c r="M864" s="13">
        <v>1567</v>
      </c>
      <c r="N864" s="13">
        <v>18</v>
      </c>
      <c r="O864" s="15"/>
      <c r="P864" s="6">
        <v>40943.796493055554</v>
      </c>
      <c r="Q864" s="18" t="s">
        <v>42</v>
      </c>
      <c r="R864" s="19" t="s">
        <v>4885</v>
      </c>
      <c r="S864" s="12" t="s">
        <v>4886</v>
      </c>
      <c r="T864" s="11"/>
      <c r="U864" s="10" t="str">
        <f>HYPERLINK("https://pbs.twimg.com/profile_images/929073809772171265/y2DlCHrC.jpg","View")</f>
        <v>View</v>
      </c>
    </row>
    <row r="865" spans="1:21" ht="20.399999999999999">
      <c r="A865" s="6">
        <v>43441.883067129631</v>
      </c>
      <c r="B865" s="7" t="str">
        <f>HYPERLINK("https://twitter.com/MVidaller","@MVidaller")</f>
        <v>@MVidaller</v>
      </c>
      <c r="C865" s="8" t="s">
        <v>4887</v>
      </c>
      <c r="D865" s="9" t="s">
        <v>1833</v>
      </c>
      <c r="E865" s="10" t="str">
        <f>HYPERLINK("https://twitter.com/MVidaller/status/1071135161964732418","1071135161964732418")</f>
        <v>1071135161964732418</v>
      </c>
      <c r="F865" s="12" t="s">
        <v>4888</v>
      </c>
      <c r="G865" s="11"/>
      <c r="H865" s="11"/>
      <c r="I865" s="13">
        <v>0</v>
      </c>
      <c r="J865" s="13">
        <v>0</v>
      </c>
      <c r="K865" s="14" t="str">
        <f>HYPERLINK("http://twitter.com","Twitter Web Client")</f>
        <v>Twitter Web Client</v>
      </c>
      <c r="L865" s="13">
        <v>422</v>
      </c>
      <c r="M865" s="13">
        <v>2278</v>
      </c>
      <c r="N865" s="13">
        <v>6</v>
      </c>
      <c r="O865" s="15"/>
      <c r="P865" s="6">
        <v>40922.855300925927</v>
      </c>
      <c r="Q865" s="18" t="s">
        <v>462</v>
      </c>
      <c r="R865" s="19" t="s">
        <v>4889</v>
      </c>
      <c r="S865" s="11"/>
      <c r="T865" s="11"/>
      <c r="U865" s="10" t="str">
        <f>HYPERLINK("https://pbs.twimg.com/profile_images/921120763096305664/dKmjiWJU.jpg","View")</f>
        <v>View</v>
      </c>
    </row>
    <row r="866" spans="1:21" ht="122.4">
      <c r="A866" s="6">
        <v>43441.882743055554</v>
      </c>
      <c r="B866" s="7" t="str">
        <f>HYPERLINK("https://twitter.com/pepito_grillo55","@pepito_grillo55")</f>
        <v>@pepito_grillo55</v>
      </c>
      <c r="C866" s="8" t="s">
        <v>1660</v>
      </c>
      <c r="D866" s="9" t="s">
        <v>1661</v>
      </c>
      <c r="E866" s="10" t="str">
        <f>HYPERLINK("https://twitter.com/pepito_grillo55/status/1071135042775207938","1071135042775207938")</f>
        <v>1071135042775207938</v>
      </c>
      <c r="F866" s="12" t="s">
        <v>1662</v>
      </c>
      <c r="G866" s="12" t="s">
        <v>1663</v>
      </c>
      <c r="H866" s="11"/>
      <c r="I866" s="13">
        <v>2</v>
      </c>
      <c r="J866" s="13">
        <v>0</v>
      </c>
      <c r="K866" s="14" t="str">
        <f>HYPERLINK("http://twitter.com/#!/download/ipad","Twitter for iPad")</f>
        <v>Twitter for iPad</v>
      </c>
      <c r="L866" s="13">
        <v>5285</v>
      </c>
      <c r="M866" s="13">
        <v>4543</v>
      </c>
      <c r="N866" s="13">
        <v>38</v>
      </c>
      <c r="O866" s="15"/>
      <c r="P866" s="6">
        <v>41645.740624999999</v>
      </c>
      <c r="Q866" s="18" t="s">
        <v>1325</v>
      </c>
      <c r="R866" s="19" t="s">
        <v>1665</v>
      </c>
      <c r="S866" s="11"/>
      <c r="T866" s="11"/>
      <c r="U866" s="10" t="str">
        <f>HYPERLINK("https://pbs.twimg.com/profile_images/432172211185528832/ZcdguW-Y.jpeg","View")</f>
        <v>View</v>
      </c>
    </row>
    <row r="867" spans="1:21" ht="40.799999999999997">
      <c r="A867" s="6">
        <v>43441.882303240738</v>
      </c>
      <c r="B867" s="7" t="str">
        <f>HYPERLINK("https://twitter.com/fdiaz_p","@fdiaz_p")</f>
        <v>@fdiaz_p</v>
      </c>
      <c r="C867" s="8" t="s">
        <v>4890</v>
      </c>
      <c r="D867" s="9" t="s">
        <v>4891</v>
      </c>
      <c r="E867" s="10" t="str">
        <f>HYPERLINK("https://twitter.com/fdiaz_p/status/1071134881323933696","1071134881323933696")</f>
        <v>1071134881323933696</v>
      </c>
      <c r="F867" s="11"/>
      <c r="G867" s="12" t="s">
        <v>4892</v>
      </c>
      <c r="H867" s="11"/>
      <c r="I867" s="13">
        <v>0</v>
      </c>
      <c r="J867" s="13">
        <v>0</v>
      </c>
      <c r="K867" s="14" t="str">
        <f>HYPERLINK("http://twitter.com/download/iphone","Twitter for iPhone")</f>
        <v>Twitter for iPhone</v>
      </c>
      <c r="L867" s="13">
        <v>1025</v>
      </c>
      <c r="M867" s="13">
        <v>1125</v>
      </c>
      <c r="N867" s="13">
        <v>20</v>
      </c>
      <c r="O867" s="15"/>
      <c r="P867" s="6">
        <v>40922.892210648148</v>
      </c>
      <c r="Q867" s="18" t="s">
        <v>4893</v>
      </c>
      <c r="R867" s="19" t="s">
        <v>4894</v>
      </c>
      <c r="S867" s="12" t="s">
        <v>4895</v>
      </c>
      <c r="T867" s="11"/>
      <c r="U867" s="10" t="str">
        <f>HYPERLINK("https://pbs.twimg.com/profile_images/1004080179650625537/GPWzjyZ_.jpg","View")</f>
        <v>View</v>
      </c>
    </row>
    <row r="868" spans="1:21" ht="30.6">
      <c r="A868" s="6">
        <v>43441.881307870368</v>
      </c>
      <c r="B868" s="7" t="str">
        <f>HYPERLINK("https://twitter.com/UntepojuEdad","@UntepojuEdad")</f>
        <v>@UntepojuEdad</v>
      </c>
      <c r="C868" s="8" t="s">
        <v>1669</v>
      </c>
      <c r="D868" s="9" t="s">
        <v>1670</v>
      </c>
      <c r="E868" s="10" t="str">
        <f>HYPERLINK("https://twitter.com/UntepojuEdad/status/1071134523558109185","1071134523558109185")</f>
        <v>1071134523558109185</v>
      </c>
      <c r="F868" s="11"/>
      <c r="G868" s="12" t="s">
        <v>1671</v>
      </c>
      <c r="H868" s="11"/>
      <c r="I868" s="13">
        <v>0</v>
      </c>
      <c r="J868" s="13">
        <v>0</v>
      </c>
      <c r="K868" s="14" t="str">
        <f t="shared" ref="K868:K869" si="164">HYPERLINK("http://twitter.com/download/android","Twitter for Android")</f>
        <v>Twitter for Android</v>
      </c>
      <c r="L868" s="13">
        <v>14</v>
      </c>
      <c r="M868" s="13">
        <v>101</v>
      </c>
      <c r="N868" s="13">
        <v>0</v>
      </c>
      <c r="O868" s="15"/>
      <c r="P868" s="6">
        <v>41793.970312500001</v>
      </c>
      <c r="Q868" s="11"/>
      <c r="R868" s="19" t="s">
        <v>1674</v>
      </c>
      <c r="S868" s="11"/>
      <c r="T868" s="11"/>
      <c r="U868" s="10" t="str">
        <f>HYPERLINK("https://pbs.twimg.com/profile_images/1040861704991789057/xe0IKTny.jpg","View")</f>
        <v>View</v>
      </c>
    </row>
    <row r="869" spans="1:21" ht="51">
      <c r="A869" s="6">
        <v>43441.880497685182</v>
      </c>
      <c r="B869" s="7" t="str">
        <f>HYPERLINK("https://twitter.com/GloriaSolGomez","@GloriaSolGomez")</f>
        <v>@GloriaSolGomez</v>
      </c>
      <c r="C869" s="8" t="s">
        <v>4896</v>
      </c>
      <c r="D869" s="9" t="s">
        <v>4897</v>
      </c>
      <c r="E869" s="10" t="str">
        <f>HYPERLINK("https://twitter.com/GloriaSolGomez/status/1071134227075354625","1071134227075354625")</f>
        <v>1071134227075354625</v>
      </c>
      <c r="F869" s="12" t="s">
        <v>4898</v>
      </c>
      <c r="G869" s="12" t="s">
        <v>3158</v>
      </c>
      <c r="H869" s="11"/>
      <c r="I869" s="13">
        <v>0</v>
      </c>
      <c r="J869" s="13">
        <v>0</v>
      </c>
      <c r="K869" s="14" t="str">
        <f t="shared" si="164"/>
        <v>Twitter for Android</v>
      </c>
      <c r="L869" s="13">
        <v>246</v>
      </c>
      <c r="M869" s="13">
        <v>443</v>
      </c>
      <c r="N869" s="13">
        <v>2</v>
      </c>
      <c r="O869" s="15"/>
      <c r="P869" s="6">
        <v>41790.516504629632</v>
      </c>
      <c r="Q869" s="11"/>
      <c r="R869" s="19" t="s">
        <v>4899</v>
      </c>
      <c r="S869" s="11"/>
      <c r="T869" s="11"/>
      <c r="U869" s="10" t="str">
        <f>HYPERLINK("https://pbs.twimg.com/profile_images/813843957100793857/v2_uDkhN.jpg","View")</f>
        <v>View</v>
      </c>
    </row>
    <row r="870" spans="1:21" ht="51">
      <c r="A870" s="6">
        <v>43441.879479166666</v>
      </c>
      <c r="B870" s="7" t="str">
        <f>HYPERLINK("https://twitter.com/RBaltasar","@RBaltasar")</f>
        <v>@RBaltasar</v>
      </c>
      <c r="C870" s="8" t="s">
        <v>1677</v>
      </c>
      <c r="D870" s="9" t="s">
        <v>1678</v>
      </c>
      <c r="E870" s="10" t="str">
        <f>HYPERLINK("https://twitter.com/RBaltasar/status/1071133861596332033","1071133861596332033")</f>
        <v>1071133861596332033</v>
      </c>
      <c r="F870" s="11"/>
      <c r="G870" s="12" t="s">
        <v>1681</v>
      </c>
      <c r="H870" s="11"/>
      <c r="I870" s="13">
        <v>0</v>
      </c>
      <c r="J870" s="13">
        <v>0</v>
      </c>
      <c r="K870" s="14" t="str">
        <f>HYPERLINK("http://twitter.com","Twitter Web Client")</f>
        <v>Twitter Web Client</v>
      </c>
      <c r="L870" s="13">
        <v>2805</v>
      </c>
      <c r="M870" s="13">
        <v>770</v>
      </c>
      <c r="N870" s="13">
        <v>19</v>
      </c>
      <c r="O870" s="15"/>
      <c r="P870" s="6">
        <v>40791.017812500002</v>
      </c>
      <c r="Q870" s="18" t="s">
        <v>1682</v>
      </c>
      <c r="R870" s="19" t="s">
        <v>1683</v>
      </c>
      <c r="S870" s="12" t="s">
        <v>1685</v>
      </c>
      <c r="T870" s="11"/>
      <c r="U870" s="10" t="str">
        <f>HYPERLINK("https://pbs.twimg.com/profile_images/2507111445/etuyt27yd2sehewww5ai.jpeg","View")</f>
        <v>View</v>
      </c>
    </row>
    <row r="871" spans="1:21" ht="51">
      <c r="A871" s="6">
        <v>43441.878425925926</v>
      </c>
      <c r="B871" s="7" t="str">
        <f>HYPERLINK("https://twitter.com/webrago","@webrago")</f>
        <v>@webrago</v>
      </c>
      <c r="C871" s="8" t="s">
        <v>1686</v>
      </c>
      <c r="D871" s="9" t="s">
        <v>1687</v>
      </c>
      <c r="E871" s="10" t="str">
        <f>HYPERLINK("https://twitter.com/webrago/status/1071133478849265665","1071133478849265665")</f>
        <v>1071133478849265665</v>
      </c>
      <c r="F871" s="11"/>
      <c r="G871" s="11"/>
      <c r="H871" s="11"/>
      <c r="I871" s="13">
        <v>0</v>
      </c>
      <c r="J871" s="13">
        <v>1</v>
      </c>
      <c r="K871" s="14" t="str">
        <f>HYPERLINK("http://twitter.com/download/android","Twitter for Android")</f>
        <v>Twitter for Android</v>
      </c>
      <c r="L871" s="13">
        <v>503</v>
      </c>
      <c r="M871" s="13">
        <v>641</v>
      </c>
      <c r="N871" s="13">
        <v>9</v>
      </c>
      <c r="O871" s="15"/>
      <c r="P871" s="6">
        <v>42151.565046296295</v>
      </c>
      <c r="Q871" s="18" t="s">
        <v>1413</v>
      </c>
      <c r="R871" s="19" t="s">
        <v>1689</v>
      </c>
      <c r="S871" s="11"/>
      <c r="T871" s="11"/>
      <c r="U871" s="10" t="str">
        <f>HYPERLINK("https://pbs.twimg.com/profile_images/1009725299372843008/c_Sp5OFT.jpg","View")</f>
        <v>View</v>
      </c>
    </row>
    <row r="872" spans="1:21" ht="20.399999999999999">
      <c r="A872" s="6">
        <v>43441.878217592588</v>
      </c>
      <c r="B872" s="7" t="str">
        <f>HYPERLINK("https://twitter.com/LuisLeonardoV","@LuisLeonardoV")</f>
        <v>@LuisLeonardoV</v>
      </c>
      <c r="C872" s="8" t="s">
        <v>4902</v>
      </c>
      <c r="D872" s="9" t="s">
        <v>4903</v>
      </c>
      <c r="E872" s="10" t="str">
        <f>HYPERLINK("https://twitter.com/LuisLeonardoV/status/1071133400453525504","1071133400453525504")</f>
        <v>1071133400453525504</v>
      </c>
      <c r="F872" s="12" t="s">
        <v>4904</v>
      </c>
      <c r="G872" s="11"/>
      <c r="H872" s="11"/>
      <c r="I872" s="13">
        <v>0</v>
      </c>
      <c r="J872" s="13">
        <v>0</v>
      </c>
      <c r="K872" s="14" t="str">
        <f t="shared" ref="K872:K873" si="165">HYPERLINK("http://www.facebook.com/twitter","Facebook")</f>
        <v>Facebook</v>
      </c>
      <c r="L872" s="13">
        <v>87</v>
      </c>
      <c r="M872" s="13">
        <v>577</v>
      </c>
      <c r="N872" s="13">
        <v>0</v>
      </c>
      <c r="O872" s="15"/>
      <c r="P872" s="6">
        <v>40799.628391203703</v>
      </c>
      <c r="Q872" s="18" t="s">
        <v>601</v>
      </c>
      <c r="R872" s="19" t="s">
        <v>4905</v>
      </c>
      <c r="S872" s="11"/>
      <c r="T872" s="11"/>
      <c r="U872" s="10" t="str">
        <f>HYPERLINK("https://pbs.twimg.com/profile_images/953603125646188544/vVgwuEZ6.jpg","View")</f>
        <v>View</v>
      </c>
    </row>
    <row r="873" spans="1:21" ht="30.6">
      <c r="A873" s="6">
        <v>43441.87777777778</v>
      </c>
      <c r="B873" s="7" t="str">
        <f>HYPERLINK("https://twitter.com/Moggio3","@Moggio3")</f>
        <v>@Moggio3</v>
      </c>
      <c r="C873" s="8" t="s">
        <v>4882</v>
      </c>
      <c r="D873" s="9" t="s">
        <v>4883</v>
      </c>
      <c r="E873" s="10" t="str">
        <f>HYPERLINK("https://twitter.com/Moggio3/status/1071133243716657153","1071133243716657153")</f>
        <v>1071133243716657153</v>
      </c>
      <c r="F873" s="12" t="s">
        <v>4906</v>
      </c>
      <c r="G873" s="11"/>
      <c r="H873" s="11"/>
      <c r="I873" s="13">
        <v>0</v>
      </c>
      <c r="J873" s="13">
        <v>1</v>
      </c>
      <c r="K873" s="14" t="str">
        <f t="shared" si="165"/>
        <v>Facebook</v>
      </c>
      <c r="L873" s="13">
        <v>1421</v>
      </c>
      <c r="M873" s="13">
        <v>1567</v>
      </c>
      <c r="N873" s="13">
        <v>18</v>
      </c>
      <c r="O873" s="15"/>
      <c r="P873" s="6">
        <v>40943.796493055554</v>
      </c>
      <c r="Q873" s="18" t="s">
        <v>42</v>
      </c>
      <c r="R873" s="19" t="s">
        <v>4885</v>
      </c>
      <c r="S873" s="12" t="s">
        <v>4886</v>
      </c>
      <c r="T873" s="11"/>
      <c r="U873" s="10" t="str">
        <f>HYPERLINK("https://pbs.twimg.com/profile_images/929073809772171265/y2DlCHrC.jpg","View")</f>
        <v>View</v>
      </c>
    </row>
    <row r="874" spans="1:21" ht="61.2">
      <c r="A874" s="6">
        <v>43441.87777777778</v>
      </c>
      <c r="B874" s="7" t="str">
        <f>HYPERLINK("https://twitter.com/philidor38","@philidor38")</f>
        <v>@philidor38</v>
      </c>
      <c r="C874" s="8" t="s">
        <v>4907</v>
      </c>
      <c r="D874" s="9" t="s">
        <v>4908</v>
      </c>
      <c r="E874" s="10" t="str">
        <f>HYPERLINK("https://twitter.com/philidor38/status/1071133241732726784","1071133241732726784")</f>
        <v>1071133241732726784</v>
      </c>
      <c r="F874" s="12" t="s">
        <v>44</v>
      </c>
      <c r="G874" s="11"/>
      <c r="H874" s="11"/>
      <c r="I874" s="13">
        <v>7</v>
      </c>
      <c r="J874" s="13">
        <v>5</v>
      </c>
      <c r="K874" s="14" t="str">
        <f>HYPERLINK("https://mobile.twitter.com","Twitter Lite")</f>
        <v>Twitter Lite</v>
      </c>
      <c r="L874" s="13">
        <v>1041</v>
      </c>
      <c r="M874" s="13">
        <v>772</v>
      </c>
      <c r="N874" s="13">
        <v>4</v>
      </c>
      <c r="O874" s="15"/>
      <c r="P874" s="6">
        <v>41882.968900462962</v>
      </c>
      <c r="Q874" s="11"/>
      <c r="R874" s="19" t="s">
        <v>4910</v>
      </c>
      <c r="S874" s="12" t="s">
        <v>4911</v>
      </c>
      <c r="T874" s="11"/>
      <c r="U874" s="10" t="str">
        <f>HYPERLINK("https://pbs.twimg.com/profile_images/1061308076928745473/Pn8N4HWB.jpg","View")</f>
        <v>View</v>
      </c>
    </row>
    <row r="875" spans="1:21" ht="51">
      <c r="A875" s="6">
        <v>43441.877025462964</v>
      </c>
      <c r="B875" s="7" t="str">
        <f>HYPERLINK("https://twitter.com/fmarcalvaro","@fmarcalvaro")</f>
        <v>@fmarcalvaro</v>
      </c>
      <c r="C875" s="8" t="s">
        <v>1690</v>
      </c>
      <c r="D875" s="9" t="s">
        <v>1691</v>
      </c>
      <c r="E875" s="10" t="str">
        <f>HYPERLINK("https://twitter.com/fmarcalvaro/status/1071132968738045952","1071132968738045952")</f>
        <v>1071132968738045952</v>
      </c>
      <c r="F875" s="18" t="s">
        <v>1692</v>
      </c>
      <c r="G875" s="11"/>
      <c r="H875" s="11"/>
      <c r="I875" s="13">
        <v>1</v>
      </c>
      <c r="J875" s="13">
        <v>3</v>
      </c>
      <c r="K875" s="14" t="str">
        <f>HYPERLINK("http://twitter.com/download/iphone","Twitter for iPhone")</f>
        <v>Twitter for iPhone</v>
      </c>
      <c r="L875" s="13">
        <v>75219</v>
      </c>
      <c r="M875" s="13">
        <v>3757</v>
      </c>
      <c r="N875" s="13">
        <v>916</v>
      </c>
      <c r="O875" s="16" t="s">
        <v>25</v>
      </c>
      <c r="P875" s="6">
        <v>40634.489351851851</v>
      </c>
      <c r="Q875" s="18" t="s">
        <v>1696</v>
      </c>
      <c r="R875" s="19" t="s">
        <v>1697</v>
      </c>
      <c r="S875" s="12" t="s">
        <v>1698</v>
      </c>
      <c r="T875" s="11"/>
      <c r="U875" s="10" t="str">
        <f>HYPERLINK("https://pbs.twimg.com/profile_images/1018153716501934080/ya0uemfI.jpg","View")</f>
        <v>View</v>
      </c>
    </row>
    <row r="876" spans="1:21" ht="71.400000000000006">
      <c r="A876" s="6">
        <v>43441.87672453704</v>
      </c>
      <c r="B876" s="7" t="str">
        <f>HYPERLINK("https://twitter.com/Alfonso_Lago","@Alfonso_Lago")</f>
        <v>@Alfonso_Lago</v>
      </c>
      <c r="C876" s="8" t="s">
        <v>1700</v>
      </c>
      <c r="D876" s="9" t="s">
        <v>1702</v>
      </c>
      <c r="E876" s="10" t="str">
        <f>HYPERLINK("https://twitter.com/Alfonso_Lago/status/1071132860495601664","1071132860495601664")</f>
        <v>1071132860495601664</v>
      </c>
      <c r="F876" s="18" t="s">
        <v>1704</v>
      </c>
      <c r="G876" s="11"/>
      <c r="H876" s="11"/>
      <c r="I876" s="13">
        <v>0</v>
      </c>
      <c r="J876" s="13">
        <v>0</v>
      </c>
      <c r="K876" s="14" t="str">
        <f t="shared" ref="K876:K877" si="166">HYPERLINK("http://twitter.com/download/android","Twitter for Android")</f>
        <v>Twitter for Android</v>
      </c>
      <c r="L876" s="13">
        <v>2052</v>
      </c>
      <c r="M876" s="13">
        <v>1820</v>
      </c>
      <c r="N876" s="13">
        <v>31</v>
      </c>
      <c r="O876" s="15"/>
      <c r="P876" s="6">
        <v>40651.50582175926</v>
      </c>
      <c r="Q876" s="18" t="s">
        <v>1708</v>
      </c>
      <c r="R876" s="19" t="s">
        <v>1709</v>
      </c>
      <c r="S876" s="11"/>
      <c r="T876" s="11"/>
      <c r="U876" s="10" t="str">
        <f>HYPERLINK("https://pbs.twimg.com/profile_images/476290489193226240/Uax77d_1.jpeg","View")</f>
        <v>View</v>
      </c>
    </row>
    <row r="877" spans="1:21" ht="40.799999999999997">
      <c r="A877" s="6">
        <v>43441.875034722223</v>
      </c>
      <c r="B877" s="7" t="str">
        <f>HYPERLINK("https://twitter.com/MorenoG_Agustin","@MorenoG_Agustin")</f>
        <v>@MorenoG_Agustin</v>
      </c>
      <c r="C877" s="8" t="s">
        <v>1711</v>
      </c>
      <c r="D877" s="9" t="s">
        <v>1712</v>
      </c>
      <c r="E877" s="10" t="str">
        <f>HYPERLINK("https://twitter.com/MorenoG_Agustin/status/1071132248479535107","1071132248479535107")</f>
        <v>1071132248479535107</v>
      </c>
      <c r="F877" s="11"/>
      <c r="G877" s="12" t="s">
        <v>1032</v>
      </c>
      <c r="H877" s="11"/>
      <c r="I877" s="13">
        <v>1270</v>
      </c>
      <c r="J877" s="13">
        <v>2237</v>
      </c>
      <c r="K877" s="14" t="str">
        <f t="shared" si="166"/>
        <v>Twitter for Android</v>
      </c>
      <c r="L877" s="13">
        <v>52632</v>
      </c>
      <c r="M877" s="13">
        <v>29875</v>
      </c>
      <c r="N877" s="13">
        <v>562</v>
      </c>
      <c r="O877" s="15"/>
      <c r="P877" s="6">
        <v>41203.912627314814</v>
      </c>
      <c r="Q877" s="11"/>
      <c r="R877" s="19" t="s">
        <v>1714</v>
      </c>
      <c r="S877" s="11"/>
      <c r="T877" s="11"/>
      <c r="U877" s="10" t="str">
        <f>HYPERLINK("https://pbs.twimg.com/profile_images/822517815538315266/8_qQt3sS.jpg","View")</f>
        <v>View</v>
      </c>
    </row>
    <row r="878" spans="1:21" ht="30.6">
      <c r="A878" s="6">
        <v>43441.87501157407</v>
      </c>
      <c r="B878" s="7" t="str">
        <f>HYPERLINK("https://twitter.com/okdiario","@okdiario")</f>
        <v>@okdiario</v>
      </c>
      <c r="C878" s="8" t="s">
        <v>1716</v>
      </c>
      <c r="D878" s="9" t="s">
        <v>1718</v>
      </c>
      <c r="E878" s="10" t="str">
        <f>HYPERLINK("https://twitter.com/okdiario/status/1071132239906299905","1071132239906299905")</f>
        <v>1071132239906299905</v>
      </c>
      <c r="F878" s="11"/>
      <c r="G878" s="12" t="s">
        <v>835</v>
      </c>
      <c r="H878" s="11"/>
      <c r="I878" s="13">
        <v>221</v>
      </c>
      <c r="J878" s="13">
        <v>246</v>
      </c>
      <c r="K878" s="14" t="str">
        <f>HYPERLINK("https://studio.twitter.com","Twitter Media Studio")</f>
        <v>Twitter Media Studio</v>
      </c>
      <c r="L878" s="13">
        <v>112408</v>
      </c>
      <c r="M878" s="13">
        <v>343</v>
      </c>
      <c r="N878" s="13">
        <v>1440</v>
      </c>
      <c r="O878" s="16" t="s">
        <v>25</v>
      </c>
      <c r="P878" s="6">
        <v>42241.708229166667</v>
      </c>
      <c r="Q878" s="11"/>
      <c r="R878" s="19" t="s">
        <v>1722</v>
      </c>
      <c r="S878" s="12" t="s">
        <v>1723</v>
      </c>
      <c r="T878" s="11"/>
      <c r="U878" s="10" t="str">
        <f>HYPERLINK("https://pbs.twimg.com/profile_images/789113773697208320/3LvFvi8Q.jpg","View")</f>
        <v>View</v>
      </c>
    </row>
    <row r="879" spans="1:21" ht="20.399999999999999">
      <c r="A879" s="6">
        <v>43441.874780092592</v>
      </c>
      <c r="B879" s="7" t="str">
        <f>HYPERLINK("https://twitter.com/CMFlorit","@CMFlorit")</f>
        <v>@CMFlorit</v>
      </c>
      <c r="C879" s="8" t="s">
        <v>4912</v>
      </c>
      <c r="D879" s="9" t="s">
        <v>4913</v>
      </c>
      <c r="E879" s="10" t="str">
        <f>HYPERLINK("https://twitter.com/CMFlorit/status/1071132156120973314","1071132156120973314")</f>
        <v>1071132156120973314</v>
      </c>
      <c r="F879" s="12" t="s">
        <v>4914</v>
      </c>
      <c r="G879" s="11"/>
      <c r="H879" s="11"/>
      <c r="I879" s="13">
        <v>0</v>
      </c>
      <c r="J879" s="13">
        <v>0</v>
      </c>
      <c r="K879" s="14" t="str">
        <f>HYPERLINK("http://www.facebook.com/twitter","Facebook")</f>
        <v>Facebook</v>
      </c>
      <c r="L879" s="13">
        <v>1007</v>
      </c>
      <c r="M879" s="13">
        <v>1102</v>
      </c>
      <c r="N879" s="13">
        <v>18</v>
      </c>
      <c r="O879" s="15"/>
      <c r="P879" s="6">
        <v>40658.847280092596</v>
      </c>
      <c r="Q879" s="18" t="s">
        <v>2110</v>
      </c>
      <c r="R879" s="19" t="s">
        <v>4915</v>
      </c>
      <c r="S879" s="12" t="s">
        <v>4916</v>
      </c>
      <c r="T879" s="11"/>
      <c r="U879" s="10" t="str">
        <f>HYPERLINK("https://pbs.twimg.com/profile_images/703148153155923970/iChIaNoI.jpg","View")</f>
        <v>View</v>
      </c>
    </row>
    <row r="880" spans="1:21" ht="71.400000000000006">
      <c r="A880" s="6">
        <v>43441.874618055561</v>
      </c>
      <c r="B880" s="7" t="str">
        <f>HYPERLINK("https://twitter.com/alvertoas","@alvertoas")</f>
        <v>@alvertoas</v>
      </c>
      <c r="C880" s="8" t="s">
        <v>4917</v>
      </c>
      <c r="D880" s="9" t="s">
        <v>4918</v>
      </c>
      <c r="E880" s="10" t="str">
        <f>HYPERLINK("https://twitter.com/alvertoas/status/1071132098495426560","1071132098495426560")</f>
        <v>1071132098495426560</v>
      </c>
      <c r="F880" s="12" t="s">
        <v>734</v>
      </c>
      <c r="G880" s="12" t="s">
        <v>735</v>
      </c>
      <c r="H880" s="11"/>
      <c r="I880" s="13">
        <v>0</v>
      </c>
      <c r="J880" s="13">
        <v>1</v>
      </c>
      <c r="K880" s="14" t="str">
        <f>HYPERLINK("http://twitter.com/download/android","Twitter for Android")</f>
        <v>Twitter for Android</v>
      </c>
      <c r="L880" s="13">
        <v>2583</v>
      </c>
      <c r="M880" s="13">
        <v>2910</v>
      </c>
      <c r="N880" s="13">
        <v>6</v>
      </c>
      <c r="O880" s="15"/>
      <c r="P880" s="6">
        <v>42023.038206018522</v>
      </c>
      <c r="Q880" s="18" t="s">
        <v>4919</v>
      </c>
      <c r="R880" s="19" t="s">
        <v>4920</v>
      </c>
      <c r="S880" s="11"/>
      <c r="T880" s="11"/>
      <c r="U880" s="10" t="str">
        <f>HYPERLINK("https://pbs.twimg.com/profile_images/1062983220243906560/2SxfeEW5.jpg","View")</f>
        <v>View</v>
      </c>
    </row>
    <row r="881" spans="1:21" ht="20.399999999999999">
      <c r="A881" s="6">
        <v>43441.874490740738</v>
      </c>
      <c r="B881" s="7" t="str">
        <f>HYPERLINK("https://twitter.com/oscarbl05","@oscarbl05")</f>
        <v>@oscarbl05</v>
      </c>
      <c r="C881" s="8" t="s">
        <v>4921</v>
      </c>
      <c r="D881" s="9" t="s">
        <v>4360</v>
      </c>
      <c r="E881" s="10" t="str">
        <f>HYPERLINK("https://twitter.com/oscarbl05/status/1071132051225616384","1071132051225616384")</f>
        <v>1071132051225616384</v>
      </c>
      <c r="F881" s="12" t="s">
        <v>4361</v>
      </c>
      <c r="G881" s="11"/>
      <c r="H881" s="11"/>
      <c r="I881" s="13">
        <v>0</v>
      </c>
      <c r="J881" s="13">
        <v>0</v>
      </c>
      <c r="K881" s="14" t="str">
        <f>HYPERLINK("https://www.google.com/","Google")</f>
        <v>Google</v>
      </c>
      <c r="L881" s="13">
        <v>20</v>
      </c>
      <c r="M881" s="13">
        <v>99</v>
      </c>
      <c r="N881" s="13">
        <v>0</v>
      </c>
      <c r="O881" s="15"/>
      <c r="P881" s="6">
        <v>42003.618402777778</v>
      </c>
      <c r="Q881" s="11"/>
      <c r="R881" s="17"/>
      <c r="S881" s="11"/>
      <c r="T881" s="11"/>
      <c r="U881" s="10" t="str">
        <f>HYPERLINK("https://pbs.twimg.com/profile_images/906585770546401280/sJkLzvmg.jpg","View")</f>
        <v>View</v>
      </c>
    </row>
    <row r="882" spans="1:21" ht="51">
      <c r="A882" s="6">
        <v>43441.874409722222</v>
      </c>
      <c r="B882" s="7" t="str">
        <f>HYPERLINK("https://twitter.com/_23Sergio","@_23Sergio")</f>
        <v>@_23Sergio</v>
      </c>
      <c r="C882" s="8" t="s">
        <v>4922</v>
      </c>
      <c r="D882" s="9" t="s">
        <v>4923</v>
      </c>
      <c r="E882" s="10" t="str">
        <f>HYPERLINK("https://twitter.com/_23Sergio/status/1071132023664926726","1071132023664926726")</f>
        <v>1071132023664926726</v>
      </c>
      <c r="F882" s="11"/>
      <c r="G882" s="11"/>
      <c r="H882" s="11"/>
      <c r="I882" s="13">
        <v>7</v>
      </c>
      <c r="J882" s="13">
        <v>10</v>
      </c>
      <c r="K882" s="14" t="str">
        <f>HYPERLINK("http://twitter.com/download/android","Twitter for Android")</f>
        <v>Twitter for Android</v>
      </c>
      <c r="L882" s="13">
        <v>1344</v>
      </c>
      <c r="M882" s="13">
        <v>1825</v>
      </c>
      <c r="N882" s="13">
        <v>12</v>
      </c>
      <c r="O882" s="15"/>
      <c r="P882" s="6">
        <v>40503.781458333331</v>
      </c>
      <c r="Q882" s="18" t="s">
        <v>1958</v>
      </c>
      <c r="R882" s="19" t="s">
        <v>4924</v>
      </c>
      <c r="S882" s="11"/>
      <c r="T882" s="11"/>
      <c r="U882" s="10" t="str">
        <f>HYPERLINK("https://pbs.twimg.com/profile_images/959348744822157312/wUGKBFb3.jpg","View")</f>
        <v>View</v>
      </c>
    </row>
    <row r="883" spans="1:21" ht="40.799999999999997">
      <c r="A883" s="6">
        <v>43441.874097222222</v>
      </c>
      <c r="B883" s="7" t="str">
        <f>HYPERLINK("https://twitter.com/Miotroyo2parte","@Miotroyo2parte")</f>
        <v>@Miotroyo2parte</v>
      </c>
      <c r="C883" s="8" t="s">
        <v>1727</v>
      </c>
      <c r="D883" s="9" t="s">
        <v>1061</v>
      </c>
      <c r="E883" s="10" t="str">
        <f>HYPERLINK("https://twitter.com/Miotroyo2parte/status/1071131909990875136","1071131909990875136")</f>
        <v>1071131909990875136</v>
      </c>
      <c r="F883" s="11"/>
      <c r="G883" s="11"/>
      <c r="H883" s="11"/>
      <c r="I883" s="13">
        <v>2554</v>
      </c>
      <c r="J883" s="13">
        <v>3775</v>
      </c>
      <c r="K883" s="14" t="str">
        <f>HYPERLINK("http://twitter.com/download/iphone","Twitter for iPhone")</f>
        <v>Twitter for iPhone</v>
      </c>
      <c r="L883" s="13">
        <v>105642</v>
      </c>
      <c r="M883" s="13">
        <v>22716</v>
      </c>
      <c r="N883" s="13">
        <v>380</v>
      </c>
      <c r="O883" s="15"/>
      <c r="P883" s="6">
        <v>42077.077013888891</v>
      </c>
      <c r="Q883" s="11"/>
      <c r="R883" s="19" t="s">
        <v>1729</v>
      </c>
      <c r="S883" s="11"/>
      <c r="T883" s="11"/>
      <c r="U883" s="10" t="str">
        <f>HYPERLINK("https://pbs.twimg.com/profile_images/714430309098459140/sR5PzPw0.jpg","View")</f>
        <v>View</v>
      </c>
    </row>
    <row r="884" spans="1:21" ht="71.400000000000006">
      <c r="A884" s="6">
        <v>43441.873483796298</v>
      </c>
      <c r="B884" s="7" t="str">
        <f>HYPERLINK("https://twitter.com/PEPEROES1972","@PEPEROES1972")</f>
        <v>@PEPEROES1972</v>
      </c>
      <c r="C884" s="8" t="s">
        <v>1520</v>
      </c>
      <c r="D884" s="9" t="s">
        <v>1732</v>
      </c>
      <c r="E884" s="10" t="str">
        <f>HYPERLINK("https://twitter.com/PEPEROES1972/status/1071131686396678145","1071131686396678145")</f>
        <v>1071131686396678145</v>
      </c>
      <c r="F884" s="18" t="s">
        <v>1733</v>
      </c>
      <c r="G884" s="11"/>
      <c r="H884" s="11"/>
      <c r="I884" s="13">
        <v>0</v>
      </c>
      <c r="J884" s="13">
        <v>1</v>
      </c>
      <c r="K884" s="14" t="str">
        <f>HYPERLINK("http://twitter.com","Twitter Web Client")</f>
        <v>Twitter Web Client</v>
      </c>
      <c r="L884" s="13">
        <v>10546</v>
      </c>
      <c r="M884" s="13">
        <v>5041</v>
      </c>
      <c r="N884" s="13">
        <v>106</v>
      </c>
      <c r="O884" s="15"/>
      <c r="P884" s="6">
        <v>40456.570023148146</v>
      </c>
      <c r="Q884" s="18" t="s">
        <v>1525</v>
      </c>
      <c r="R884" s="19" t="s">
        <v>1527</v>
      </c>
      <c r="S884" s="11"/>
      <c r="T884" s="11"/>
      <c r="U884" s="10" t="str">
        <f>HYPERLINK("https://pbs.twimg.com/profile_images/1015133506677207041/WIe3CQ1b.jpg","View")</f>
        <v>View</v>
      </c>
    </row>
    <row r="885" spans="1:21" ht="20.399999999999999">
      <c r="A885" s="6">
        <v>43441.873472222222</v>
      </c>
      <c r="B885" s="7" t="str">
        <f>HYPERLINK("https://twitter.com/PBMarbeMalaga","@PBMarbeMalaga")</f>
        <v>@PBMarbeMalaga</v>
      </c>
      <c r="C885" s="8" t="s">
        <v>1635</v>
      </c>
      <c r="D885" s="9" t="s">
        <v>4925</v>
      </c>
      <c r="E885" s="10" t="str">
        <f>HYPERLINK("https://twitter.com/PBMarbeMalaga/status/1071131681908764672","1071131681908764672")</f>
        <v>1071131681908764672</v>
      </c>
      <c r="F885" s="12" t="s">
        <v>4926</v>
      </c>
      <c r="G885" s="11"/>
      <c r="H885" s="11"/>
      <c r="I885" s="13">
        <v>0</v>
      </c>
      <c r="J885" s="13">
        <v>0</v>
      </c>
      <c r="K885" s="14" t="str">
        <f>HYPERLINK("https://javitang.ddns.net","PBMarbeMalaga")</f>
        <v>PBMarbeMalaga</v>
      </c>
      <c r="L885" s="13">
        <v>1316</v>
      </c>
      <c r="M885" s="13">
        <v>1358</v>
      </c>
      <c r="N885" s="13">
        <v>2</v>
      </c>
      <c r="O885" s="15"/>
      <c r="P885" s="6">
        <v>43149.814074074078</v>
      </c>
      <c r="Q885" s="18" t="s">
        <v>1637</v>
      </c>
      <c r="R885" s="19" t="s">
        <v>1638</v>
      </c>
      <c r="S885" s="11"/>
      <c r="T885" s="11"/>
      <c r="U885" s="10" t="str">
        <f>HYPERLINK("https://pbs.twimg.com/profile_images/965296691145531392/sAFnfUu2.jpg","View")</f>
        <v>View</v>
      </c>
    </row>
    <row r="886" spans="1:21" ht="30.6">
      <c r="A886" s="6">
        <v>43441.871944444443</v>
      </c>
      <c r="B886" s="7" t="str">
        <f>HYPERLINK("https://twitter.com/GACOVIEDO","@GACOVIEDO")</f>
        <v>@GACOVIEDO</v>
      </c>
      <c r="C886" s="8" t="s">
        <v>4927</v>
      </c>
      <c r="D886" s="9" t="s">
        <v>2160</v>
      </c>
      <c r="E886" s="10" t="str">
        <f>HYPERLINK("https://twitter.com/GACOVIEDO/status/1071131128612958210","1071131128612958210")</f>
        <v>1071131128612958210</v>
      </c>
      <c r="F886" s="12" t="s">
        <v>2161</v>
      </c>
      <c r="G886" s="11"/>
      <c r="H886" s="11"/>
      <c r="I886" s="13">
        <v>2</v>
      </c>
      <c r="J886" s="13">
        <v>5</v>
      </c>
      <c r="K886" s="14" t="str">
        <f t="shared" ref="K886:K887" si="167">HYPERLINK("http://twitter.com/download/android","Twitter for Android")</f>
        <v>Twitter for Android</v>
      </c>
      <c r="L886" s="13">
        <v>2018</v>
      </c>
      <c r="M886" s="13">
        <v>1704</v>
      </c>
      <c r="N886" s="13">
        <v>9</v>
      </c>
      <c r="O886" s="15"/>
      <c r="P886" s="6">
        <v>41285.80846064815</v>
      </c>
      <c r="Q886" s="11"/>
      <c r="R886" s="19" t="s">
        <v>4928</v>
      </c>
      <c r="S886" s="11"/>
      <c r="T886" s="11"/>
      <c r="U886" s="10" t="str">
        <f>HYPERLINK("https://pbs.twimg.com/profile_images/1050837953742864385/_v0lfUdc.jpg","View")</f>
        <v>View</v>
      </c>
    </row>
    <row r="887" spans="1:21" ht="20.399999999999999">
      <c r="A887" s="6">
        <v>43441.871678240743</v>
      </c>
      <c r="B887" s="7" t="str">
        <f>HYPERLINK("https://twitter.com/juanda98_jd11","@juanda98_jd11")</f>
        <v>@juanda98_jd11</v>
      </c>
      <c r="C887" s="8" t="s">
        <v>4929</v>
      </c>
      <c r="D887" s="9" t="s">
        <v>4930</v>
      </c>
      <c r="E887" s="10" t="str">
        <f>HYPERLINK("https://twitter.com/juanda98_jd11/status/1071131031560953871","1071131031560953871")</f>
        <v>1071131031560953871</v>
      </c>
      <c r="F887" s="11"/>
      <c r="G887" s="11"/>
      <c r="H887" s="11"/>
      <c r="I887" s="13">
        <v>0</v>
      </c>
      <c r="J887" s="13">
        <v>1</v>
      </c>
      <c r="K887" s="14" t="str">
        <f t="shared" si="167"/>
        <v>Twitter for Android</v>
      </c>
      <c r="L887" s="13">
        <v>389</v>
      </c>
      <c r="M887" s="13">
        <v>1031</v>
      </c>
      <c r="N887" s="13">
        <v>1</v>
      </c>
      <c r="O887" s="15"/>
      <c r="P887" s="6">
        <v>40435.902789351851</v>
      </c>
      <c r="Q887" s="11"/>
      <c r="R887" s="19" t="s">
        <v>4931</v>
      </c>
      <c r="S887" s="11"/>
      <c r="T887" s="11"/>
      <c r="U887" s="10" t="str">
        <f>HYPERLINK("https://pbs.twimg.com/profile_images/974312112695758849/KxM6Y33P.jpg","View")</f>
        <v>View</v>
      </c>
    </row>
    <row r="888" spans="1:21" ht="20.399999999999999">
      <c r="A888" s="6">
        <v>43441.870868055557</v>
      </c>
      <c r="B888" s="7" t="str">
        <f>HYPERLINK("https://twitter.com/lolapastur","@lolapastur")</f>
        <v>@lolapastur</v>
      </c>
      <c r="C888" s="8" t="s">
        <v>2253</v>
      </c>
      <c r="D888" s="9" t="s">
        <v>4468</v>
      </c>
      <c r="E888" s="10" t="str">
        <f>HYPERLINK("https://twitter.com/lolapastur/status/1071130741071855617","1071130741071855617")</f>
        <v>1071130741071855617</v>
      </c>
      <c r="F888" s="12" t="s">
        <v>1526</v>
      </c>
      <c r="G888" s="11"/>
      <c r="H888" s="11"/>
      <c r="I888" s="13">
        <v>1</v>
      </c>
      <c r="J888" s="13">
        <v>0</v>
      </c>
      <c r="K888" s="14" t="str">
        <f>HYPERLINK("http://twitter.com/download/iphone","Twitter for iPhone")</f>
        <v>Twitter for iPhone</v>
      </c>
      <c r="L888" s="13">
        <v>3784</v>
      </c>
      <c r="M888" s="13">
        <v>2833</v>
      </c>
      <c r="N888" s="13">
        <v>33</v>
      </c>
      <c r="O888" s="15"/>
      <c r="P888" s="6">
        <v>40913.599293981482</v>
      </c>
      <c r="Q888" s="11"/>
      <c r="R888" s="19" t="s">
        <v>2258</v>
      </c>
      <c r="S888" s="11"/>
      <c r="T888" s="11"/>
      <c r="U888" s="10" t="str">
        <f>HYPERLINK("https://pbs.twimg.com/profile_images/934821295736451073/tnymHvNj.jpg","View")</f>
        <v>View</v>
      </c>
    </row>
    <row r="889" spans="1:21" ht="51">
      <c r="A889" s="6">
        <v>43441.870115740741</v>
      </c>
      <c r="B889" s="7" t="str">
        <f>HYPERLINK("https://twitter.com/Teo_Cartagena","@Teo_Cartagena")</f>
        <v>@Teo_Cartagena</v>
      </c>
      <c r="C889" s="8" t="s">
        <v>1737</v>
      </c>
      <c r="D889" s="9" t="s">
        <v>1738</v>
      </c>
      <c r="E889" s="10" t="str">
        <f>HYPERLINK("https://twitter.com/Teo_Cartagena/status/1071130466378493953","1071130466378493953")</f>
        <v>1071130466378493953</v>
      </c>
      <c r="F889" s="11"/>
      <c r="G889" s="11"/>
      <c r="H889" s="11"/>
      <c r="I889" s="13">
        <v>0</v>
      </c>
      <c r="J889" s="13">
        <v>0</v>
      </c>
      <c r="K889" s="14" t="str">
        <f>HYPERLINK("https://mobile.twitter.com","Twitter Lite")</f>
        <v>Twitter Lite</v>
      </c>
      <c r="L889" s="13">
        <v>94</v>
      </c>
      <c r="M889" s="13">
        <v>50</v>
      </c>
      <c r="N889" s="13">
        <v>0</v>
      </c>
      <c r="O889" s="15"/>
      <c r="P889" s="6">
        <v>41766.033784722225</v>
      </c>
      <c r="Q889" s="11"/>
      <c r="R889" s="17"/>
      <c r="S889" s="11"/>
      <c r="T889" s="11"/>
      <c r="U889" s="10" t="str">
        <f>HYPERLINK("https://pbs.twimg.com/profile_images/986170308674584577/zt-YrtPH.jpg","View")</f>
        <v>View</v>
      </c>
    </row>
    <row r="890" spans="1:21" ht="71.400000000000006">
      <c r="A890" s="6">
        <v>43441.869699074072</v>
      </c>
      <c r="B890" s="7" t="str">
        <f>HYPERLINK("https://twitter.com/finacapacete","@finacapacete")</f>
        <v>@finacapacete</v>
      </c>
      <c r="C890" s="8" t="s">
        <v>1743</v>
      </c>
      <c r="D890" s="9" t="s">
        <v>1744</v>
      </c>
      <c r="E890" s="10" t="str">
        <f>HYPERLINK("https://twitter.com/finacapacete/status/1071130316226613248","1071130316226613248")</f>
        <v>1071130316226613248</v>
      </c>
      <c r="F890" s="18" t="s">
        <v>1745</v>
      </c>
      <c r="G890" s="11"/>
      <c r="H890" s="11"/>
      <c r="I890" s="13">
        <v>0</v>
      </c>
      <c r="J890" s="13">
        <v>1</v>
      </c>
      <c r="K890" s="14" t="str">
        <f>HYPERLINK("http://twitter.com/download/android","Twitter for Android")</f>
        <v>Twitter for Android</v>
      </c>
      <c r="L890" s="13">
        <v>1397</v>
      </c>
      <c r="M890" s="13">
        <v>1553</v>
      </c>
      <c r="N890" s="13">
        <v>12</v>
      </c>
      <c r="O890" s="15"/>
      <c r="P890" s="6">
        <v>41629.02820601852</v>
      </c>
      <c r="Q890" s="18" t="s">
        <v>1102</v>
      </c>
      <c r="R890" s="19" t="s">
        <v>1747</v>
      </c>
      <c r="S890" s="11"/>
      <c r="T890" s="11"/>
      <c r="U890" s="10" t="str">
        <f>HYPERLINK("https://pbs.twimg.com/profile_images/970690987675799552/dmwu2xhE.jpg","View")</f>
        <v>View</v>
      </c>
    </row>
    <row r="891" spans="1:21" ht="20.399999999999999">
      <c r="A891" s="6">
        <v>43441.869074074071</v>
      </c>
      <c r="B891" s="7" t="str">
        <f>HYPERLINK("https://twitter.com/cansants","@cansants")</f>
        <v>@cansants</v>
      </c>
      <c r="C891" s="8" t="s">
        <v>4932</v>
      </c>
      <c r="D891" s="9" t="s">
        <v>3810</v>
      </c>
      <c r="E891" s="10" t="str">
        <f>HYPERLINK("https://twitter.com/cansants/status/1071130089834852352","1071130089834852352")</f>
        <v>1071130089834852352</v>
      </c>
      <c r="F891" s="12" t="s">
        <v>4933</v>
      </c>
      <c r="G891" s="11"/>
      <c r="H891" s="11"/>
      <c r="I891" s="13">
        <v>0</v>
      </c>
      <c r="J891" s="13">
        <v>0</v>
      </c>
      <c r="K891" s="14" t="str">
        <f>HYPERLINK("https://www.google.com/","Google")</f>
        <v>Google</v>
      </c>
      <c r="L891" s="13">
        <v>115</v>
      </c>
      <c r="M891" s="13">
        <v>386</v>
      </c>
      <c r="N891" s="13">
        <v>8</v>
      </c>
      <c r="O891" s="15"/>
      <c r="P891" s="6">
        <v>39154.492615740739</v>
      </c>
      <c r="Q891" s="18" t="s">
        <v>4934</v>
      </c>
      <c r="R891" s="19" t="s">
        <v>4935</v>
      </c>
      <c r="S891" s="12" t="s">
        <v>4936</v>
      </c>
      <c r="T891" s="11"/>
      <c r="U891" s="10" t="str">
        <f>HYPERLINK("https://pbs.twimg.com/profile_images/2162256778/22437_389761775106_844320106_10297373_3474278_a.jpg","View")</f>
        <v>View</v>
      </c>
    </row>
    <row r="892" spans="1:21" ht="30.6">
      <c r="A892" s="6">
        <v>43441.868298611109</v>
      </c>
      <c r="B892" s="7" t="str">
        <f>HYPERLINK("https://twitter.com/CasoAislado_Es","@CasoAislado_Es")</f>
        <v>@CasoAislado_Es</v>
      </c>
      <c r="C892" s="8" t="s">
        <v>1812</v>
      </c>
      <c r="D892" s="9" t="s">
        <v>4937</v>
      </c>
      <c r="E892" s="10" t="str">
        <f>HYPERLINK("https://twitter.com/CasoAislado_Es/status/1071129806740353025","1071129806740353025")</f>
        <v>1071129806740353025</v>
      </c>
      <c r="F892" s="12" t="s">
        <v>1526</v>
      </c>
      <c r="G892" s="11"/>
      <c r="H892" s="11"/>
      <c r="I892" s="13">
        <v>717</v>
      </c>
      <c r="J892" s="13">
        <v>576</v>
      </c>
      <c r="K892" s="14" t="str">
        <f>HYPERLINK("http://twitter.com","Twitter Web Client")</f>
        <v>Twitter Web Client</v>
      </c>
      <c r="L892" s="13">
        <v>21475</v>
      </c>
      <c r="M892" s="13">
        <v>6353</v>
      </c>
      <c r="N892" s="13">
        <v>153</v>
      </c>
      <c r="O892" s="15"/>
      <c r="P892" s="6">
        <v>40257.560439814813</v>
      </c>
      <c r="Q892" s="18" t="s">
        <v>114</v>
      </c>
      <c r="R892" s="19" t="s">
        <v>1820</v>
      </c>
      <c r="S892" s="12" t="s">
        <v>1821</v>
      </c>
      <c r="T892" s="11"/>
      <c r="U892" s="10" t="str">
        <f>HYPERLINK("https://pbs.twimg.com/profile_images/818503412702707713/QK1J8CEn.jpg","View")</f>
        <v>View</v>
      </c>
    </row>
    <row r="893" spans="1:21" ht="30.6">
      <c r="A893" s="6">
        <v>43441.867407407408</v>
      </c>
      <c r="B893" s="7" t="str">
        <f>HYPERLINK("https://twitter.com/vox_en","@vox_en")</f>
        <v>@vox_en</v>
      </c>
      <c r="C893" s="8" t="s">
        <v>4938</v>
      </c>
      <c r="D893" s="9" t="s">
        <v>4939</v>
      </c>
      <c r="E893" s="10" t="str">
        <f>HYPERLINK("https://twitter.com/vox_en/status/1071129483065917442","1071129483065917442")</f>
        <v>1071129483065917442</v>
      </c>
      <c r="F893" s="11"/>
      <c r="G893" s="11"/>
      <c r="H893" s="11"/>
      <c r="I893" s="13">
        <v>0</v>
      </c>
      <c r="J893" s="13">
        <v>0</v>
      </c>
      <c r="K893" s="14" t="str">
        <f>HYPERLINK("http://twitter.com/download/android","Twitter for Android")</f>
        <v>Twitter for Android</v>
      </c>
      <c r="L893" s="13">
        <v>6</v>
      </c>
      <c r="M893" s="13">
        <v>17</v>
      </c>
      <c r="N893" s="13">
        <v>0</v>
      </c>
      <c r="O893" s="15"/>
      <c r="P893" s="6">
        <v>43441.532766203702</v>
      </c>
      <c r="Q893" s="11"/>
      <c r="R893" s="17"/>
      <c r="S893" s="11"/>
      <c r="T893" s="11"/>
      <c r="U893" s="10" t="str">
        <f>HYPERLINK("https://pbs.twimg.com/profile_images/1071008958779924480/XPiuPAzH.jpg","View")</f>
        <v>View</v>
      </c>
    </row>
    <row r="894" spans="1:21" ht="40.799999999999997">
      <c r="A894" s="6">
        <v>43441.866689814815</v>
      </c>
      <c r="B894" s="7" t="str">
        <f>HYPERLINK("https://twitter.com/chiccuelina","@chiccuelina")</f>
        <v>@chiccuelina</v>
      </c>
      <c r="C894" s="8" t="s">
        <v>4940</v>
      </c>
      <c r="D894" s="9" t="s">
        <v>4941</v>
      </c>
      <c r="E894" s="10" t="str">
        <f>HYPERLINK("https://twitter.com/chiccuelina/status/1071129225867001857","1071129225867001857")</f>
        <v>1071129225867001857</v>
      </c>
      <c r="F894" s="18" t="s">
        <v>4942</v>
      </c>
      <c r="G894" s="11"/>
      <c r="H894" s="11"/>
      <c r="I894" s="13">
        <v>1</v>
      </c>
      <c r="J894" s="13">
        <v>5</v>
      </c>
      <c r="K894" s="14" t="str">
        <f>HYPERLINK("http://twitter.com/#!/download/ipad","Twitter for iPad")</f>
        <v>Twitter for iPad</v>
      </c>
      <c r="L894" s="13">
        <v>1823</v>
      </c>
      <c r="M894" s="13">
        <v>1932</v>
      </c>
      <c r="N894" s="13">
        <v>21</v>
      </c>
      <c r="O894" s="15"/>
      <c r="P894" s="6">
        <v>40638.409699074073</v>
      </c>
      <c r="Q894" s="18" t="s">
        <v>192</v>
      </c>
      <c r="R894" s="19" t="s">
        <v>4943</v>
      </c>
      <c r="S894" s="11"/>
      <c r="T894" s="11"/>
      <c r="U894" s="10" t="str">
        <f>HYPERLINK("https://pbs.twimg.com/profile_images/1059161461212278785/RhS9_clZ.jpg","View")</f>
        <v>View</v>
      </c>
    </row>
    <row r="895" spans="1:21" ht="20.399999999999999">
      <c r="A895" s="6">
        <v>43441.866215277776</v>
      </c>
      <c r="B895" s="7" t="str">
        <f>HYPERLINK("https://twitter.com/aguipioza","@aguipioza")</f>
        <v>@aguipioza</v>
      </c>
      <c r="C895" s="8" t="s">
        <v>4944</v>
      </c>
      <c r="D895" s="9" t="s">
        <v>4945</v>
      </c>
      <c r="E895" s="10" t="str">
        <f>HYPERLINK("https://twitter.com/aguipioza/status/1071129051631443968","1071129051631443968")</f>
        <v>1071129051631443968</v>
      </c>
      <c r="F895" s="12" t="s">
        <v>4946</v>
      </c>
      <c r="G895" s="11"/>
      <c r="H895" s="11"/>
      <c r="I895" s="13">
        <v>0</v>
      </c>
      <c r="J895" s="13">
        <v>0</v>
      </c>
      <c r="K895" s="14" t="str">
        <f t="shared" ref="K895:K896" si="168">HYPERLINK("http://twitter.com","Twitter Web Client")</f>
        <v>Twitter Web Client</v>
      </c>
      <c r="L895" s="13">
        <v>10</v>
      </c>
      <c r="M895" s="13">
        <v>43</v>
      </c>
      <c r="N895" s="13">
        <v>0</v>
      </c>
      <c r="O895" s="15"/>
      <c r="P895" s="6">
        <v>41302.832696759258</v>
      </c>
      <c r="Q895" s="11"/>
      <c r="R895" s="17"/>
      <c r="S895" s="11"/>
      <c r="T895" s="11"/>
      <c r="U895" s="16" t="s">
        <v>191</v>
      </c>
    </row>
    <row r="896" spans="1:21" ht="40.799999999999997">
      <c r="A896" s="6">
        <v>43441.865532407406</v>
      </c>
      <c r="B896" s="7" t="str">
        <f>HYPERLINK("https://twitter.com/_okdario","@_okdario")</f>
        <v>@_okdario</v>
      </c>
      <c r="C896" s="8" t="s">
        <v>4947</v>
      </c>
      <c r="D896" s="9" t="s">
        <v>4948</v>
      </c>
      <c r="E896" s="10" t="str">
        <f>HYPERLINK("https://twitter.com/_okdario/status/1071128803559309312","1071128803559309312")</f>
        <v>1071128803559309312</v>
      </c>
      <c r="F896" s="12" t="s">
        <v>4949</v>
      </c>
      <c r="G896" s="11"/>
      <c r="H896" s="11"/>
      <c r="I896" s="13">
        <v>3</v>
      </c>
      <c r="J896" s="13">
        <v>5</v>
      </c>
      <c r="K896" s="14" t="str">
        <f t="shared" si="168"/>
        <v>Twitter Web Client</v>
      </c>
      <c r="L896" s="13">
        <v>10286</v>
      </c>
      <c r="M896" s="13">
        <v>50</v>
      </c>
      <c r="N896" s="13">
        <v>57</v>
      </c>
      <c r="O896" s="15"/>
      <c r="P896" s="6">
        <v>42954.869409722218</v>
      </c>
      <c r="Q896" s="18" t="s">
        <v>41</v>
      </c>
      <c r="R896" s="19" t="s">
        <v>4950</v>
      </c>
      <c r="S896" s="11"/>
      <c r="T896" s="11"/>
      <c r="U896" s="10" t="str">
        <f>HYPERLINK("https://pbs.twimg.com/profile_images/915893625485131781/Y66Ys1X6.jpg","View")</f>
        <v>View</v>
      </c>
    </row>
    <row r="897" spans="1:21" ht="40.799999999999997">
      <c r="A897" s="6">
        <v>43441.865023148144</v>
      </c>
      <c r="B897" s="7" t="str">
        <f>HYPERLINK("https://twitter.com/ariasborque","@ariasborque")</f>
        <v>@ariasborque</v>
      </c>
      <c r="C897" s="8" t="s">
        <v>4951</v>
      </c>
      <c r="D897" s="9" t="s">
        <v>4952</v>
      </c>
      <c r="E897" s="10" t="str">
        <f>HYPERLINK("https://twitter.com/ariasborque/status/1071128619181883393","1071128619181883393")</f>
        <v>1071128619181883393</v>
      </c>
      <c r="F897" s="12" t="s">
        <v>503</v>
      </c>
      <c r="G897" s="11"/>
      <c r="H897" s="11"/>
      <c r="I897" s="13">
        <v>8</v>
      </c>
      <c r="J897" s="13">
        <v>3</v>
      </c>
      <c r="K897" s="14" t="str">
        <f>HYPERLINK("http://twitter.com/download/android","Twitter for Android")</f>
        <v>Twitter for Android</v>
      </c>
      <c r="L897" s="13">
        <v>2857</v>
      </c>
      <c r="M897" s="13">
        <v>450</v>
      </c>
      <c r="N897" s="13">
        <v>100</v>
      </c>
      <c r="O897" s="16" t="s">
        <v>25</v>
      </c>
      <c r="P897" s="6">
        <v>40360.836423611108</v>
      </c>
      <c r="Q897" s="11"/>
      <c r="R897" s="19" t="s">
        <v>4953</v>
      </c>
      <c r="S897" s="12" t="s">
        <v>4954</v>
      </c>
      <c r="T897" s="11"/>
      <c r="U897" s="10" t="str">
        <f>HYPERLINK("https://pbs.twimg.com/profile_images/631241460860493824/40jcQ9jG.jpg","View")</f>
        <v>View</v>
      </c>
    </row>
    <row r="898" spans="1:21" ht="40.799999999999997">
      <c r="A898" s="6">
        <v>43441.864317129628</v>
      </c>
      <c r="B898" s="7" t="str">
        <f>HYPERLINK("https://twitter.com/tamayo1933","@tamayo1933")</f>
        <v>@tamayo1933</v>
      </c>
      <c r="C898" s="8" t="s">
        <v>4955</v>
      </c>
      <c r="D898" s="9" t="s">
        <v>4956</v>
      </c>
      <c r="E898" s="10" t="str">
        <f>HYPERLINK("https://twitter.com/tamayo1933/status/1071128364130492416","1071128364130492416")</f>
        <v>1071128364130492416</v>
      </c>
      <c r="F898" s="12" t="s">
        <v>4957</v>
      </c>
      <c r="G898" s="11"/>
      <c r="H898" s="11"/>
      <c r="I898" s="13">
        <v>0</v>
      </c>
      <c r="J898" s="13">
        <v>0</v>
      </c>
      <c r="K898" s="14" t="str">
        <f>HYPERLINK("http://www.facebook.com/twitter","Facebook")</f>
        <v>Facebook</v>
      </c>
      <c r="L898" s="13">
        <v>57</v>
      </c>
      <c r="M898" s="13">
        <v>112</v>
      </c>
      <c r="N898" s="13">
        <v>0</v>
      </c>
      <c r="O898" s="15"/>
      <c r="P898" s="6">
        <v>40690.750057870369</v>
      </c>
      <c r="Q898" s="18" t="s">
        <v>4958</v>
      </c>
      <c r="R898" s="19" t="s">
        <v>4959</v>
      </c>
      <c r="S898" s="12" t="s">
        <v>4960</v>
      </c>
      <c r="T898" s="11"/>
      <c r="U898" s="10" t="str">
        <f>HYPERLINK("https://pbs.twimg.com/profile_images/598910682478845952/h0SOXNT1.jpg","View")</f>
        <v>View</v>
      </c>
    </row>
    <row r="899" spans="1:21" ht="51">
      <c r="A899" s="6">
        <v>43441.864062499997</v>
      </c>
      <c r="B899" s="7" t="str">
        <f>HYPERLINK("https://twitter.com/Santitcr","@Santitcr")</f>
        <v>@Santitcr</v>
      </c>
      <c r="C899" s="8" t="s">
        <v>1749</v>
      </c>
      <c r="D899" s="9" t="s">
        <v>1750</v>
      </c>
      <c r="E899" s="10" t="str">
        <f>HYPERLINK("https://twitter.com/Santitcr/status/1071128271922913280","1071128271922913280")</f>
        <v>1071128271922913280</v>
      </c>
      <c r="F899" s="11"/>
      <c r="G899" s="12" t="s">
        <v>1752</v>
      </c>
      <c r="H899" s="11"/>
      <c r="I899" s="13">
        <v>4</v>
      </c>
      <c r="J899" s="13">
        <v>5</v>
      </c>
      <c r="K899" s="14" t="str">
        <f t="shared" ref="K899:K900" si="169">HYPERLINK("http://twitter.com/download/android","Twitter for Android")</f>
        <v>Twitter for Android</v>
      </c>
      <c r="L899" s="13">
        <v>945</v>
      </c>
      <c r="M899" s="13">
        <v>1118</v>
      </c>
      <c r="N899" s="13">
        <v>6</v>
      </c>
      <c r="O899" s="15"/>
      <c r="P899" s="6">
        <v>40318.992164351854</v>
      </c>
      <c r="Q899" s="18" t="s">
        <v>1755</v>
      </c>
      <c r="R899" s="19" t="s">
        <v>1756</v>
      </c>
      <c r="S899" s="12" t="s">
        <v>1757</v>
      </c>
      <c r="T899" s="11"/>
      <c r="U899" s="10" t="str">
        <f>HYPERLINK("https://pbs.twimg.com/profile_images/1035276906738987008/krCKrzDr.jpg","View")</f>
        <v>View</v>
      </c>
    </row>
    <row r="900" spans="1:21" ht="30.6">
      <c r="A900" s="6">
        <v>43441.862986111111</v>
      </c>
      <c r="B900" s="7" t="str">
        <f>HYPERLINK("https://twitter.com/no_facha","@no_facha")</f>
        <v>@no_facha</v>
      </c>
      <c r="C900" s="8" t="s">
        <v>500</v>
      </c>
      <c r="D900" s="9" t="s">
        <v>501</v>
      </c>
      <c r="E900" s="10" t="str">
        <f>HYPERLINK("https://twitter.com/no_facha/status/1071127882712408064","1071127882712408064")</f>
        <v>1071127882712408064</v>
      </c>
      <c r="F900" s="12" t="s">
        <v>503</v>
      </c>
      <c r="G900" s="11"/>
      <c r="H900" s="11"/>
      <c r="I900" s="13">
        <v>0</v>
      </c>
      <c r="J900" s="13">
        <v>0</v>
      </c>
      <c r="K900" s="14" t="str">
        <f t="shared" si="169"/>
        <v>Twitter for Android</v>
      </c>
      <c r="L900" s="13">
        <v>157</v>
      </c>
      <c r="M900" s="13">
        <v>117</v>
      </c>
      <c r="N900" s="13">
        <v>2</v>
      </c>
      <c r="O900" s="15"/>
      <c r="P900" s="6">
        <v>43397.989907407406</v>
      </c>
      <c r="Q900" s="11"/>
      <c r="R900" s="19" t="s">
        <v>506</v>
      </c>
      <c r="S900" s="11"/>
      <c r="T900" s="11"/>
      <c r="U900" s="10" t="str">
        <f>HYPERLINK("https://pbs.twimg.com/profile_images/1055214215588384770/e6FCyPKs.jpg","View")</f>
        <v>View</v>
      </c>
    </row>
    <row r="901" spans="1:21" ht="20.399999999999999">
      <c r="A901" s="6">
        <v>43441.861851851849</v>
      </c>
      <c r="B901" s="7" t="str">
        <f>HYPERLINK("https://twitter.com/mariacasgar","@mariacasgar")</f>
        <v>@mariacasgar</v>
      </c>
      <c r="C901" s="8" t="s">
        <v>4962</v>
      </c>
      <c r="D901" s="9" t="s">
        <v>39</v>
      </c>
      <c r="E901" s="10" t="str">
        <f>HYPERLINK("https://twitter.com/mariacasgar/status/1071127471406354433","1071127471406354433")</f>
        <v>1071127471406354433</v>
      </c>
      <c r="F901" s="12" t="s">
        <v>40</v>
      </c>
      <c r="G901" s="11"/>
      <c r="H901" s="11"/>
      <c r="I901" s="13">
        <v>0</v>
      </c>
      <c r="J901" s="13">
        <v>0</v>
      </c>
      <c r="K901" s="14" t="str">
        <f t="shared" ref="K901:K902" si="170">HYPERLINK("http://twitter.com","Twitter Web Client")</f>
        <v>Twitter Web Client</v>
      </c>
      <c r="L901" s="13">
        <v>1723</v>
      </c>
      <c r="M901" s="13">
        <v>1844</v>
      </c>
      <c r="N901" s="13">
        <v>26</v>
      </c>
      <c r="O901" s="15"/>
      <c r="P901" s="6">
        <v>41056.092916666668</v>
      </c>
      <c r="Q901" s="11"/>
      <c r="R901" s="19" t="s">
        <v>4963</v>
      </c>
      <c r="S901" s="11"/>
      <c r="T901" s="11"/>
      <c r="U901" s="10" t="str">
        <f>HYPERLINK("https://pbs.twimg.com/profile_images/1009151242151620608/qZ8O3VIa.jpg","View")</f>
        <v>View</v>
      </c>
    </row>
    <row r="902" spans="1:21" ht="20.399999999999999">
      <c r="A902" s="6">
        <v>43441.860960648148</v>
      </c>
      <c r="B902" s="7" t="str">
        <f>HYPERLINK("https://twitter.com/rieraferre","@rieraferre")</f>
        <v>@rieraferre</v>
      </c>
      <c r="C902" s="8" t="s">
        <v>4964</v>
      </c>
      <c r="D902" s="9" t="s">
        <v>2842</v>
      </c>
      <c r="E902" s="10" t="str">
        <f>HYPERLINK("https://twitter.com/rieraferre/status/1071127147853635585","1071127147853635585")</f>
        <v>1071127147853635585</v>
      </c>
      <c r="F902" s="12" t="s">
        <v>403</v>
      </c>
      <c r="G902" s="11"/>
      <c r="H902" s="11"/>
      <c r="I902" s="13">
        <v>0</v>
      </c>
      <c r="J902" s="13">
        <v>0</v>
      </c>
      <c r="K902" s="14" t="str">
        <f t="shared" si="170"/>
        <v>Twitter Web Client</v>
      </c>
      <c r="L902" s="13">
        <v>164</v>
      </c>
      <c r="M902" s="13">
        <v>125</v>
      </c>
      <c r="N902" s="13">
        <v>1</v>
      </c>
      <c r="O902" s="15"/>
      <c r="P902" s="6">
        <v>41521.43104166667</v>
      </c>
      <c r="Q902" s="11"/>
      <c r="R902" s="17"/>
      <c r="S902" s="11"/>
      <c r="T902" s="11"/>
      <c r="U902" s="10" t="str">
        <f>HYPERLINK("https://pbs.twimg.com/profile_images/503102544759898112/bPn1HbME.jpeg","View")</f>
        <v>View</v>
      </c>
    </row>
    <row r="903" spans="1:21" ht="30.6">
      <c r="A903" s="6">
        <v>43441.860162037032</v>
      </c>
      <c r="B903" s="7" t="str">
        <f>HYPERLINK("https://twitter.com/delpi1","@delpi1")</f>
        <v>@delpi1</v>
      </c>
      <c r="C903" s="8" t="s">
        <v>1758</v>
      </c>
      <c r="D903" s="9" t="s">
        <v>1759</v>
      </c>
      <c r="E903" s="10" t="str">
        <f>HYPERLINK("https://twitter.com/delpi1/status/1071126861147709440","1071126861147709440")</f>
        <v>1071126861147709440</v>
      </c>
      <c r="F903" s="11"/>
      <c r="G903" s="12" t="s">
        <v>1760</v>
      </c>
      <c r="H903" s="11"/>
      <c r="I903" s="13">
        <v>0</v>
      </c>
      <c r="J903" s="13">
        <v>0</v>
      </c>
      <c r="K903" s="14" t="str">
        <f t="shared" ref="K903:K904" si="171">HYPERLINK("http://twitter.com/download/iphone","Twitter for iPhone")</f>
        <v>Twitter for iPhone</v>
      </c>
      <c r="L903" s="13">
        <v>409</v>
      </c>
      <c r="M903" s="13">
        <v>467</v>
      </c>
      <c r="N903" s="13">
        <v>11</v>
      </c>
      <c r="O903" s="15"/>
      <c r="P903" s="6">
        <v>40706.784930555557</v>
      </c>
      <c r="Q903" s="18" t="s">
        <v>1761</v>
      </c>
      <c r="R903" s="19" t="s">
        <v>1762</v>
      </c>
      <c r="S903" s="12" t="s">
        <v>1763</v>
      </c>
      <c r="T903" s="11"/>
      <c r="U903" s="10" t="str">
        <f>HYPERLINK("https://pbs.twimg.com/profile_images/733791605040222209/sQe1itHA.jpg","View")</f>
        <v>View</v>
      </c>
    </row>
    <row r="904" spans="1:21" ht="40.799999999999997">
      <c r="A904" s="6">
        <v>43441.859895833331</v>
      </c>
      <c r="B904" s="7" t="str">
        <f>HYPERLINK("https://twitter.com/nexthor84","@nexthor84")</f>
        <v>@nexthor84</v>
      </c>
      <c r="C904" s="8" t="s">
        <v>101</v>
      </c>
      <c r="D904" s="9" t="s">
        <v>103</v>
      </c>
      <c r="E904" s="10" t="str">
        <f>HYPERLINK("https://twitter.com/nexthor84/status/1071126760790638592","1071126760790638592")</f>
        <v>1071126760790638592</v>
      </c>
      <c r="F904" s="12" t="s">
        <v>107</v>
      </c>
      <c r="G904" s="11"/>
      <c r="H904" s="11"/>
      <c r="I904" s="13">
        <v>0</v>
      </c>
      <c r="J904" s="13">
        <v>0</v>
      </c>
      <c r="K904" s="14" t="str">
        <f t="shared" si="171"/>
        <v>Twitter for iPhone</v>
      </c>
      <c r="L904" s="13">
        <v>135</v>
      </c>
      <c r="M904" s="13">
        <v>220</v>
      </c>
      <c r="N904" s="13">
        <v>3</v>
      </c>
      <c r="O904" s="15"/>
      <c r="P904" s="6">
        <v>40881.781481481477</v>
      </c>
      <c r="Q904" s="18" t="s">
        <v>110</v>
      </c>
      <c r="R904" s="19" t="s">
        <v>111</v>
      </c>
      <c r="S904" s="11"/>
      <c r="T904" s="11"/>
      <c r="U904" s="10" t="str">
        <f>HYPERLINK("https://pbs.twimg.com/profile_images/1675171432/vendetta2.jpg","View")</f>
        <v>View</v>
      </c>
    </row>
    <row r="905" spans="1:21" ht="40.799999999999997">
      <c r="A905" s="6">
        <v>43441.859826388885</v>
      </c>
      <c r="B905" s="7" t="str">
        <f>HYPERLINK("https://twitter.com/JoseManuelPorr9","@JoseManuelPorr9")</f>
        <v>@JoseManuelPorr9</v>
      </c>
      <c r="C905" s="8" t="s">
        <v>4965</v>
      </c>
      <c r="D905" s="9" t="s">
        <v>4966</v>
      </c>
      <c r="E905" s="10" t="str">
        <f>HYPERLINK("https://twitter.com/JoseManuelPorr9/status/1071126737193447424","1071126737193447424")</f>
        <v>1071126737193447424</v>
      </c>
      <c r="F905" s="11"/>
      <c r="G905" s="11"/>
      <c r="H905" s="11"/>
      <c r="I905" s="13">
        <v>0</v>
      </c>
      <c r="J905" s="13">
        <v>0</v>
      </c>
      <c r="K905" s="14" t="str">
        <f>HYPERLINK("http://twitter.com/download/android","Twitter for Android")</f>
        <v>Twitter for Android</v>
      </c>
      <c r="L905" s="13">
        <v>6</v>
      </c>
      <c r="M905" s="13">
        <v>34</v>
      </c>
      <c r="N905" s="13">
        <v>0</v>
      </c>
      <c r="O905" s="15"/>
      <c r="P905" s="6">
        <v>43440.431006944447</v>
      </c>
      <c r="Q905" s="11"/>
      <c r="R905" s="19" t="s">
        <v>4967</v>
      </c>
      <c r="S905" s="11"/>
      <c r="T905" s="11"/>
      <c r="U905" s="10" t="str">
        <f>HYPERLINK("https://pbs.twimg.com/profile_images/1070612229509271552/9Vm-r7Yc.jpg","View")</f>
        <v>View</v>
      </c>
    </row>
    <row r="906" spans="1:21" ht="20.399999999999999">
      <c r="A906" s="6">
        <v>43441.85938657407</v>
      </c>
      <c r="B906" s="7" t="str">
        <f>HYPERLINK("https://twitter.com/REYPELAYO1","@REYPELAYO1")</f>
        <v>@REYPELAYO1</v>
      </c>
      <c r="C906" s="8" t="s">
        <v>4414</v>
      </c>
      <c r="D906" s="9" t="s">
        <v>4968</v>
      </c>
      <c r="E906" s="10" t="str">
        <f>HYPERLINK("https://twitter.com/REYPELAYO1/status/1071126580360036352","1071126580360036352")</f>
        <v>1071126580360036352</v>
      </c>
      <c r="F906" s="12" t="s">
        <v>4969</v>
      </c>
      <c r="G906" s="11"/>
      <c r="H906" s="11"/>
      <c r="I906" s="13">
        <v>0</v>
      </c>
      <c r="J906" s="13">
        <v>0</v>
      </c>
      <c r="K906" s="14" t="str">
        <f>HYPERLINK("http://twitter.com","Twitter Web Client")</f>
        <v>Twitter Web Client</v>
      </c>
      <c r="L906" s="13">
        <v>4006</v>
      </c>
      <c r="M906" s="13">
        <v>3962</v>
      </c>
      <c r="N906" s="13">
        <v>58</v>
      </c>
      <c r="O906" s="15"/>
      <c r="P906" s="6">
        <v>40232.451921296299</v>
      </c>
      <c r="Q906" s="18" t="s">
        <v>484</v>
      </c>
      <c r="R906" s="17"/>
      <c r="S906" s="11"/>
      <c r="T906" s="11"/>
      <c r="U906" s="10" t="str">
        <f>HYPERLINK("https://pbs.twimg.com/profile_images/692092942870192130/Ey88KUIY.png","View")</f>
        <v>View</v>
      </c>
    </row>
    <row r="907" spans="1:21" ht="40.799999999999997">
      <c r="A907" s="6">
        <v>43441.8590625</v>
      </c>
      <c r="B907" s="7" t="str">
        <f>HYPERLINK("https://twitter.com/PdeSamos","@PdeSamos")</f>
        <v>@PdeSamos</v>
      </c>
      <c r="C907" s="8" t="s">
        <v>1432</v>
      </c>
      <c r="D907" s="9" t="s">
        <v>4970</v>
      </c>
      <c r="E907" s="10" t="str">
        <f>HYPERLINK("https://twitter.com/PdeSamos/status/1071126459580907520","1071126459580907520")</f>
        <v>1071126459580907520</v>
      </c>
      <c r="F907" s="12" t="s">
        <v>4971</v>
      </c>
      <c r="G907" s="11"/>
      <c r="H907" s="11"/>
      <c r="I907" s="13">
        <v>0</v>
      </c>
      <c r="J907" s="13">
        <v>0</v>
      </c>
      <c r="K907" s="14" t="str">
        <f>HYPERLINK("http://republico.ddns.net","App Libertad PdeSamos")</f>
        <v>App Libertad PdeSamos</v>
      </c>
      <c r="L907" s="13">
        <v>5398</v>
      </c>
      <c r="M907" s="13">
        <v>5441</v>
      </c>
      <c r="N907" s="13">
        <v>12</v>
      </c>
      <c r="O907" s="15"/>
      <c r="P907" s="6">
        <v>42889.820567129631</v>
      </c>
      <c r="Q907" s="18" t="s">
        <v>1336</v>
      </c>
      <c r="R907" s="19" t="s">
        <v>1438</v>
      </c>
      <c r="S907" s="11"/>
      <c r="T907" s="11"/>
      <c r="U907" s="10" t="str">
        <f>HYPERLINK("https://pbs.twimg.com/profile_images/871063742003511296/xK2IYbrO.jpg","View")</f>
        <v>View</v>
      </c>
    </row>
    <row r="908" spans="1:21" ht="61.2">
      <c r="A908" s="6">
        <v>43441.857997685191</v>
      </c>
      <c r="B908" s="7" t="str">
        <f>HYPERLINK("https://twitter.com/PahChiclanaCadi","@PahChiclanaCadi")</f>
        <v>@PahChiclanaCadi</v>
      </c>
      <c r="C908" s="8" t="s">
        <v>1765</v>
      </c>
      <c r="D908" s="9" t="s">
        <v>1766</v>
      </c>
      <c r="E908" s="10" t="str">
        <f>HYPERLINK("https://twitter.com/PahChiclanaCadi/status/1071126074082373633","1071126074082373633")</f>
        <v>1071126074082373633</v>
      </c>
      <c r="F908" s="11"/>
      <c r="G908" s="12" t="s">
        <v>1767</v>
      </c>
      <c r="H908" s="11"/>
      <c r="I908" s="13">
        <v>0</v>
      </c>
      <c r="J908" s="13">
        <v>0</v>
      </c>
      <c r="K908" s="14" t="str">
        <f t="shared" ref="K908:K912" si="172">HYPERLINK("http://twitter.com","Twitter Web Client")</f>
        <v>Twitter Web Client</v>
      </c>
      <c r="L908" s="13">
        <v>31</v>
      </c>
      <c r="M908" s="13">
        <v>185</v>
      </c>
      <c r="N908" s="13">
        <v>0</v>
      </c>
      <c r="O908" s="15"/>
      <c r="P908" s="6">
        <v>43007.377337962964</v>
      </c>
      <c r="Q908" s="18" t="s">
        <v>1769</v>
      </c>
      <c r="R908" s="19" t="s">
        <v>1770</v>
      </c>
      <c r="S908" s="11"/>
      <c r="T908" s="11"/>
      <c r="U908" s="10" t="str">
        <f>HYPERLINK("https://pbs.twimg.com/profile_images/1017125017279258624/9IId-DwJ.jpg","View")</f>
        <v>View</v>
      </c>
    </row>
    <row r="909" spans="1:21" ht="40.799999999999997">
      <c r="A909" s="6">
        <v>43441.857928240745</v>
      </c>
      <c r="B909" s="7" t="str">
        <f>HYPERLINK("https://twitter.com/tuerka_ovt","@tuerka_ovt")</f>
        <v>@tuerka_ovt</v>
      </c>
      <c r="C909" s="8" t="s">
        <v>4972</v>
      </c>
      <c r="D909" s="9" t="s">
        <v>4973</v>
      </c>
      <c r="E909" s="10" t="str">
        <f>HYPERLINK("https://twitter.com/tuerka_ovt/status/1071126047851245570","1071126047851245570")</f>
        <v>1071126047851245570</v>
      </c>
      <c r="F909" s="12" t="s">
        <v>4974</v>
      </c>
      <c r="G909" s="11"/>
      <c r="H909" s="11"/>
      <c r="I909" s="13">
        <v>4</v>
      </c>
      <c r="J909" s="13">
        <v>5</v>
      </c>
      <c r="K909" s="14" t="str">
        <f t="shared" si="172"/>
        <v>Twitter Web Client</v>
      </c>
      <c r="L909" s="13">
        <v>178587</v>
      </c>
      <c r="M909" s="13">
        <v>8386</v>
      </c>
      <c r="N909" s="13">
        <v>1908</v>
      </c>
      <c r="O909" s="15"/>
      <c r="P909" s="6">
        <v>40496.799328703702</v>
      </c>
      <c r="Q909" s="18" t="s">
        <v>307</v>
      </c>
      <c r="R909" s="19" t="s">
        <v>4975</v>
      </c>
      <c r="S909" s="11"/>
      <c r="T909" s="11"/>
      <c r="U909" s="10" t="str">
        <f>HYPERLINK("https://pbs.twimg.com/profile_images/974345759188504580/InpH7cQq.jpg","View")</f>
        <v>View</v>
      </c>
    </row>
    <row r="910" spans="1:21" ht="13.2">
      <c r="A910" s="6">
        <v>43441.857442129629</v>
      </c>
      <c r="B910" s="7" t="str">
        <f>HYPERLINK("https://twitter.com/alicialopezbar2","@alicialopezbar2")</f>
        <v>@alicialopezbar2</v>
      </c>
      <c r="C910" s="8" t="s">
        <v>4976</v>
      </c>
      <c r="D910" s="9" t="s">
        <v>4977</v>
      </c>
      <c r="E910" s="10" t="str">
        <f>HYPERLINK("https://twitter.com/alicialopezbar2/status/1071125874710405120","1071125874710405120")</f>
        <v>1071125874710405120</v>
      </c>
      <c r="F910" s="11"/>
      <c r="G910" s="11"/>
      <c r="H910" s="11"/>
      <c r="I910" s="13">
        <v>0</v>
      </c>
      <c r="J910" s="13">
        <v>0</v>
      </c>
      <c r="K910" s="14" t="str">
        <f t="shared" si="172"/>
        <v>Twitter Web Client</v>
      </c>
      <c r="L910" s="13">
        <v>0</v>
      </c>
      <c r="M910" s="13">
        <v>0</v>
      </c>
      <c r="N910" s="13">
        <v>0</v>
      </c>
      <c r="O910" s="15"/>
      <c r="P910" s="6">
        <v>43441.831180555557</v>
      </c>
      <c r="Q910" s="11"/>
      <c r="R910" s="17"/>
      <c r="S910" s="11"/>
      <c r="T910" s="11"/>
      <c r="U910" s="16" t="s">
        <v>191</v>
      </c>
    </row>
    <row r="911" spans="1:21" ht="40.799999999999997">
      <c r="A911" s="6">
        <v>43441.857025462959</v>
      </c>
      <c r="B911" s="7" t="str">
        <f>HYPERLINK("https://twitter.com/Fenix68530268","@Fenix68530268")</f>
        <v>@Fenix68530268</v>
      </c>
      <c r="C911" s="8" t="s">
        <v>4978</v>
      </c>
      <c r="D911" s="9" t="s">
        <v>4979</v>
      </c>
      <c r="E911" s="10" t="str">
        <f>HYPERLINK("https://twitter.com/Fenix68530268/status/1071125724692709377","1071125724692709377")</f>
        <v>1071125724692709377</v>
      </c>
      <c r="F911" s="12" t="s">
        <v>2803</v>
      </c>
      <c r="G911" s="11"/>
      <c r="H911" s="11"/>
      <c r="I911" s="13">
        <v>0</v>
      </c>
      <c r="J911" s="13">
        <v>0</v>
      </c>
      <c r="K911" s="14" t="str">
        <f t="shared" si="172"/>
        <v>Twitter Web Client</v>
      </c>
      <c r="L911" s="13">
        <v>180</v>
      </c>
      <c r="M911" s="13">
        <v>219</v>
      </c>
      <c r="N911" s="13">
        <v>0</v>
      </c>
      <c r="O911" s="15"/>
      <c r="P911" s="6">
        <v>43410.720358796301</v>
      </c>
      <c r="Q911" s="11"/>
      <c r="R911" s="19" t="s">
        <v>4980</v>
      </c>
      <c r="S911" s="11"/>
      <c r="T911" s="11"/>
      <c r="U911" s="10" t="str">
        <f>HYPERLINK("https://pbs.twimg.com/profile_images/1059842924161196032/txGlLAQ5.jpg","View")</f>
        <v>View</v>
      </c>
    </row>
    <row r="912" spans="1:21" ht="20.399999999999999">
      <c r="A912" s="6">
        <v>43441.856990740736</v>
      </c>
      <c r="B912" s="7" t="str">
        <f>HYPERLINK("https://twitter.com/evabaltartorres","@evabaltartorres")</f>
        <v>@evabaltartorres</v>
      </c>
      <c r="C912" s="8" t="s">
        <v>4981</v>
      </c>
      <c r="D912" s="9" t="s">
        <v>813</v>
      </c>
      <c r="E912" s="10" t="str">
        <f>HYPERLINK("https://twitter.com/evabaltartorres/status/1071125710016839682","1071125710016839682")</f>
        <v>1071125710016839682</v>
      </c>
      <c r="F912" s="12" t="s">
        <v>815</v>
      </c>
      <c r="G912" s="11"/>
      <c r="H912" s="11"/>
      <c r="I912" s="13">
        <v>0</v>
      </c>
      <c r="J912" s="13">
        <v>0</v>
      </c>
      <c r="K912" s="14" t="str">
        <f t="shared" si="172"/>
        <v>Twitter Web Client</v>
      </c>
      <c r="L912" s="13">
        <v>578</v>
      </c>
      <c r="M912" s="13">
        <v>1542</v>
      </c>
      <c r="N912" s="13">
        <v>14</v>
      </c>
      <c r="O912" s="15"/>
      <c r="P912" s="6">
        <v>40681.617337962962</v>
      </c>
      <c r="Q912" s="18" t="s">
        <v>286</v>
      </c>
      <c r="R912" s="17"/>
      <c r="S912" s="11"/>
      <c r="T912" s="11"/>
      <c r="U912" s="10" t="str">
        <f>HYPERLINK("https://pbs.twimg.com/profile_images/1060949160122376192/z2nUcRzD.jpg","View")</f>
        <v>View</v>
      </c>
    </row>
    <row r="913" spans="1:21" ht="91.8">
      <c r="A913" s="6">
        <v>43441.856851851851</v>
      </c>
      <c r="B913" s="7" t="str">
        <f>HYPERLINK("https://twitter.com/garbiyo","@garbiyo")</f>
        <v>@garbiyo</v>
      </c>
      <c r="C913" s="8" t="s">
        <v>1773</v>
      </c>
      <c r="D913" s="9" t="s">
        <v>1774</v>
      </c>
      <c r="E913" s="10" t="str">
        <f>HYPERLINK("https://twitter.com/garbiyo/status/1071125658955333632","1071125658955333632")</f>
        <v>1071125658955333632</v>
      </c>
      <c r="F913" s="12" t="s">
        <v>734</v>
      </c>
      <c r="G913" s="12" t="s">
        <v>735</v>
      </c>
      <c r="H913" s="11"/>
      <c r="I913" s="13">
        <v>0</v>
      </c>
      <c r="J913" s="13">
        <v>0</v>
      </c>
      <c r="K913" s="14" t="str">
        <f>HYPERLINK("http://twitter.com/download/android","Twitter for Android")</f>
        <v>Twitter for Android</v>
      </c>
      <c r="L913" s="13">
        <v>123</v>
      </c>
      <c r="M913" s="13">
        <v>419</v>
      </c>
      <c r="N913" s="13">
        <v>0</v>
      </c>
      <c r="O913" s="15"/>
      <c r="P913" s="6">
        <v>42509.79420138889</v>
      </c>
      <c r="Q913" s="11"/>
      <c r="R913" s="17"/>
      <c r="S913" s="11"/>
      <c r="T913" s="11"/>
      <c r="U913" s="10" t="str">
        <f>HYPERLINK("https://pbs.twimg.com/profile_images/733343949906137088/c-3xcpyM.jpg","View")</f>
        <v>View</v>
      </c>
    </row>
    <row r="914" spans="1:21" ht="71.400000000000006">
      <c r="A914" s="6">
        <v>43441.856585648144</v>
      </c>
      <c r="B914" s="7" t="str">
        <f>HYPERLINK("https://twitter.com/andresantheus","@andresantheus")</f>
        <v>@andresantheus</v>
      </c>
      <c r="C914" s="8" t="s">
        <v>1778</v>
      </c>
      <c r="D914" s="9" t="s">
        <v>1779</v>
      </c>
      <c r="E914" s="10" t="str">
        <f>HYPERLINK("https://twitter.com/andresantheus/status/1071125565078421504","1071125565078421504")</f>
        <v>1071125565078421504</v>
      </c>
      <c r="F914" s="11"/>
      <c r="G914" s="12" t="s">
        <v>1780</v>
      </c>
      <c r="H914" s="11"/>
      <c r="I914" s="13">
        <v>0</v>
      </c>
      <c r="J914" s="13">
        <v>0</v>
      </c>
      <c r="K914" s="14" t="str">
        <f>HYPERLINK("http://twitter.com","Twitter Web Client")</f>
        <v>Twitter Web Client</v>
      </c>
      <c r="L914" s="13">
        <v>86</v>
      </c>
      <c r="M914" s="13">
        <v>672</v>
      </c>
      <c r="N914" s="13">
        <v>5</v>
      </c>
      <c r="O914" s="15"/>
      <c r="P914" s="6">
        <v>40801.721168981479</v>
      </c>
      <c r="Q914" s="18" t="s">
        <v>1781</v>
      </c>
      <c r="R914" s="19" t="s">
        <v>1782</v>
      </c>
      <c r="S914" s="11"/>
      <c r="T914" s="11"/>
      <c r="U914" s="10" t="str">
        <f>HYPERLINK("https://pbs.twimg.com/profile_images/747500591061012480/qORAtf-h.jpg","View")</f>
        <v>View</v>
      </c>
    </row>
    <row r="915" spans="1:21" ht="20.399999999999999">
      <c r="A915" s="6">
        <v>43441.855057870373</v>
      </c>
      <c r="B915" s="7" t="str">
        <f>HYPERLINK("https://twitter.com/fsalvoa","@fsalvoa")</f>
        <v>@fsalvoa</v>
      </c>
      <c r="C915" s="8" t="s">
        <v>4982</v>
      </c>
      <c r="D915" s="9" t="s">
        <v>4983</v>
      </c>
      <c r="E915" s="10" t="str">
        <f>HYPERLINK("https://twitter.com/fsalvoa/status/1071125010885025792","1071125010885025792")</f>
        <v>1071125010885025792</v>
      </c>
      <c r="F915" s="11"/>
      <c r="G915" s="11"/>
      <c r="H915" s="11"/>
      <c r="I915" s="13">
        <v>0</v>
      </c>
      <c r="J915" s="13">
        <v>0</v>
      </c>
      <c r="K915" s="14" t="str">
        <f>HYPERLINK("http://twitter.com/download/iphone","Twitter for iPhone")</f>
        <v>Twitter for iPhone</v>
      </c>
      <c r="L915" s="13">
        <v>1235</v>
      </c>
      <c r="M915" s="13">
        <v>888</v>
      </c>
      <c r="N915" s="13">
        <v>7</v>
      </c>
      <c r="O915" s="15"/>
      <c r="P915" s="6">
        <v>40643.956435185188</v>
      </c>
      <c r="Q915" s="18" t="s">
        <v>4984</v>
      </c>
      <c r="R915" s="19" t="s">
        <v>4985</v>
      </c>
      <c r="S915" s="11"/>
      <c r="T915" s="11"/>
      <c r="U915" s="10" t="str">
        <f>HYPERLINK("https://pbs.twimg.com/profile_images/1902042220/Salvo2.jpg","View")</f>
        <v>View</v>
      </c>
    </row>
    <row r="916" spans="1:21" ht="30.6">
      <c r="A916" s="6">
        <v>43441.854895833334</v>
      </c>
      <c r="B916" s="7" t="str">
        <f>HYPERLINK("https://twitter.com/publico_es","@publico_es")</f>
        <v>@publico_es</v>
      </c>
      <c r="C916" s="8" t="s">
        <v>2131</v>
      </c>
      <c r="D916" s="9" t="s">
        <v>4986</v>
      </c>
      <c r="E916" s="10" t="str">
        <f>HYPERLINK("https://twitter.com/publico_es/status/1071124950831038464","1071124950831038464")</f>
        <v>1071124950831038464</v>
      </c>
      <c r="F916" s="12" t="s">
        <v>4987</v>
      </c>
      <c r="G916" s="11"/>
      <c r="H916" s="11"/>
      <c r="I916" s="13">
        <v>5</v>
      </c>
      <c r="J916" s="13">
        <v>6</v>
      </c>
      <c r="K916" s="14" t="str">
        <f>HYPERLINK("https://about.twitter.com/products/tweetdeck","TweetDeck")</f>
        <v>TweetDeck</v>
      </c>
      <c r="L916" s="13">
        <v>913665</v>
      </c>
      <c r="M916" s="13">
        <v>1457</v>
      </c>
      <c r="N916" s="13">
        <v>14845</v>
      </c>
      <c r="O916" s="16" t="s">
        <v>25</v>
      </c>
      <c r="P916" s="6">
        <v>39779.559525462959</v>
      </c>
      <c r="Q916" s="18" t="s">
        <v>100</v>
      </c>
      <c r="R916" s="19" t="s">
        <v>2135</v>
      </c>
      <c r="S916" s="12" t="s">
        <v>2136</v>
      </c>
      <c r="T916" s="11"/>
      <c r="U916" s="10" t="str">
        <f>HYPERLINK("https://pbs.twimg.com/profile_images/1048242435682422786/FdzZWHU8.jpg","View")</f>
        <v>View</v>
      </c>
    </row>
    <row r="917" spans="1:21" ht="71.400000000000006">
      <c r="A917" s="6">
        <v>43441.854803240742</v>
      </c>
      <c r="B917" s="7" t="str">
        <f>HYPERLINK("https://twitter.com/finacapacete","@finacapacete")</f>
        <v>@finacapacete</v>
      </c>
      <c r="C917" s="8" t="s">
        <v>1743</v>
      </c>
      <c r="D917" s="9" t="s">
        <v>1784</v>
      </c>
      <c r="E917" s="10" t="str">
        <f>HYPERLINK("https://twitter.com/finacapacete/status/1071124916844548096","1071124916844548096")</f>
        <v>1071124916844548096</v>
      </c>
      <c r="F917" s="12" t="s">
        <v>1465</v>
      </c>
      <c r="G917" s="11"/>
      <c r="H917" s="11"/>
      <c r="I917" s="13">
        <v>0</v>
      </c>
      <c r="J917" s="13">
        <v>0</v>
      </c>
      <c r="K917" s="14" t="str">
        <f>HYPERLINK("http://twitter.com/download/android","Twitter for Android")</f>
        <v>Twitter for Android</v>
      </c>
      <c r="L917" s="13">
        <v>1397</v>
      </c>
      <c r="M917" s="13">
        <v>1553</v>
      </c>
      <c r="N917" s="13">
        <v>12</v>
      </c>
      <c r="O917" s="15"/>
      <c r="P917" s="6">
        <v>41629.02820601852</v>
      </c>
      <c r="Q917" s="18" t="s">
        <v>1102</v>
      </c>
      <c r="R917" s="19" t="s">
        <v>1747</v>
      </c>
      <c r="S917" s="11"/>
      <c r="T917" s="11"/>
      <c r="U917" s="10" t="str">
        <f>HYPERLINK("https://pbs.twimg.com/profile_images/970690987675799552/dmwu2xhE.jpg","View")</f>
        <v>View</v>
      </c>
    </row>
    <row r="918" spans="1:21" ht="51">
      <c r="A918" s="6">
        <v>43441.854166666672</v>
      </c>
      <c r="B918" s="7" t="str">
        <f>HYPERLINK("https://twitter.com/Hora_Digital","@Hora_Digital")</f>
        <v>@Hora_Digital</v>
      </c>
      <c r="C918" s="8" t="s">
        <v>1785</v>
      </c>
      <c r="D918" s="9" t="s">
        <v>1786</v>
      </c>
      <c r="E918" s="10" t="str">
        <f>HYPERLINK("https://twitter.com/Hora_Digital/status/1071124687063781376","1071124687063781376")</f>
        <v>1071124687063781376</v>
      </c>
      <c r="F918" s="12" t="s">
        <v>1787</v>
      </c>
      <c r="G918" s="11"/>
      <c r="H918" s="11"/>
      <c r="I918" s="13">
        <v>5</v>
      </c>
      <c r="J918" s="13">
        <v>0</v>
      </c>
      <c r="K918" s="14" t="str">
        <f>HYPERLINK("https://about.twitter.com/products/tweetdeck","TweetDeck")</f>
        <v>TweetDeck</v>
      </c>
      <c r="L918" s="13">
        <v>1283</v>
      </c>
      <c r="M918" s="13">
        <v>620</v>
      </c>
      <c r="N918" s="13">
        <v>12</v>
      </c>
      <c r="O918" s="15"/>
      <c r="P918" s="6">
        <v>43368.579155092593</v>
      </c>
      <c r="Q918" s="11"/>
      <c r="R918" s="19" t="s">
        <v>1788</v>
      </c>
      <c r="S918" s="12" t="s">
        <v>1789</v>
      </c>
      <c r="T918" s="11"/>
      <c r="U918" s="10" t="str">
        <f>HYPERLINK("https://pbs.twimg.com/profile_images/1064472981265616896/aBiJQ8gu.jpg","View")</f>
        <v>View</v>
      </c>
    </row>
    <row r="919" spans="1:21" ht="13.2">
      <c r="A919" s="6">
        <v>43441.853877314818</v>
      </c>
      <c r="B919" s="7" t="str">
        <f>HYPERLINK("https://twitter.com/pacowyoli","@pacowyoli")</f>
        <v>@pacowyoli</v>
      </c>
      <c r="C919" s="8" t="s">
        <v>2856</v>
      </c>
      <c r="D919" s="9" t="s">
        <v>347</v>
      </c>
      <c r="E919" s="10" t="str">
        <f>HYPERLINK("https://twitter.com/pacowyoli/status/1071124580004216834","1071124580004216834")</f>
        <v>1071124580004216834</v>
      </c>
      <c r="F919" s="12" t="s">
        <v>166</v>
      </c>
      <c r="G919" s="11"/>
      <c r="H919" s="11"/>
      <c r="I919" s="13">
        <v>0</v>
      </c>
      <c r="J919" s="13">
        <v>0</v>
      </c>
      <c r="K919" s="14" t="str">
        <f>HYPERLINK("http://www.facebook.com/twitter","Facebook")</f>
        <v>Facebook</v>
      </c>
      <c r="L919" s="13">
        <v>15</v>
      </c>
      <c r="M919" s="13">
        <v>93</v>
      </c>
      <c r="N919" s="13">
        <v>0</v>
      </c>
      <c r="O919" s="15"/>
      <c r="P919" s="6">
        <v>41320.591481481482</v>
      </c>
      <c r="Q919" s="11"/>
      <c r="R919" s="17"/>
      <c r="S919" s="11"/>
      <c r="T919" s="11"/>
      <c r="U919" s="10" t="str">
        <f>HYPERLINK("https://pbs.twimg.com/profile_images/3320409825/2cb788617c237ceeb8adf02b408a34b3.jpeg","View")</f>
        <v>View</v>
      </c>
    </row>
    <row r="920" spans="1:21" ht="91.8">
      <c r="A920" s="6">
        <v>43441.853749999995</v>
      </c>
      <c r="B920" s="7" t="str">
        <f>HYPERLINK("https://twitter.com/mas24661","@mas24661")</f>
        <v>@mas24661</v>
      </c>
      <c r="C920" s="8" t="s">
        <v>1790</v>
      </c>
      <c r="D920" s="9" t="s">
        <v>1791</v>
      </c>
      <c r="E920" s="10" t="str">
        <f>HYPERLINK("https://twitter.com/mas24661/status/1071124534852575232","1071124534852575232")</f>
        <v>1071124534852575232</v>
      </c>
      <c r="F920" s="18" t="s">
        <v>961</v>
      </c>
      <c r="G920" s="11"/>
      <c r="H920" s="11"/>
      <c r="I920" s="13">
        <v>0</v>
      </c>
      <c r="J920" s="13">
        <v>0</v>
      </c>
      <c r="K920" s="14" t="str">
        <f>HYPERLINK("http://twitter.com","Twitter Web Client")</f>
        <v>Twitter Web Client</v>
      </c>
      <c r="L920" s="13">
        <v>1008</v>
      </c>
      <c r="M920" s="13">
        <v>1874</v>
      </c>
      <c r="N920" s="13">
        <v>4</v>
      </c>
      <c r="O920" s="15"/>
      <c r="P920" s="6">
        <v>41254.016574074078</v>
      </c>
      <c r="Q920" s="11"/>
      <c r="R920" s="19" t="s">
        <v>1792</v>
      </c>
      <c r="S920" s="11"/>
      <c r="T920" s="11"/>
      <c r="U920" s="10" t="str">
        <f>HYPERLINK("https://pbs.twimg.com/profile_images/2982794609/2284490b4a8ed7b7de23475211a80d28.jpeg","View")</f>
        <v>View</v>
      </c>
    </row>
    <row r="921" spans="1:21" ht="40.799999999999997">
      <c r="A921" s="6">
        <v>43441.852118055554</v>
      </c>
      <c r="B921" s="7" t="str">
        <f>HYPERLINK("https://twitter.com/Jose_AriasH8","@Jose_AriasH8")</f>
        <v>@Jose_AriasH8</v>
      </c>
      <c r="C921" s="8" t="s">
        <v>1795</v>
      </c>
      <c r="D921" s="9" t="s">
        <v>1796</v>
      </c>
      <c r="E921" s="10" t="str">
        <f>HYPERLINK("https://twitter.com/Jose_AriasH8/status/1071123942641991685","1071123942641991685")</f>
        <v>1071123942641991685</v>
      </c>
      <c r="F921" s="12" t="s">
        <v>732</v>
      </c>
      <c r="G921" s="11"/>
      <c r="H921" s="11"/>
      <c r="I921" s="13">
        <v>0</v>
      </c>
      <c r="J921" s="13">
        <v>0</v>
      </c>
      <c r="K921" s="14" t="str">
        <f t="shared" ref="K921:K922" si="173">HYPERLINK("http://twitter.com/download/iphone","Twitter for iPhone")</f>
        <v>Twitter for iPhone</v>
      </c>
      <c r="L921" s="13">
        <v>285</v>
      </c>
      <c r="M921" s="13">
        <v>209</v>
      </c>
      <c r="N921" s="13">
        <v>3</v>
      </c>
      <c r="O921" s="15"/>
      <c r="P921" s="6">
        <v>40923.028761574074</v>
      </c>
      <c r="Q921" s="18" t="s">
        <v>1800</v>
      </c>
      <c r="R921" s="19" t="s">
        <v>1801</v>
      </c>
      <c r="S921" s="11"/>
      <c r="T921" s="11"/>
      <c r="U921" s="10" t="str">
        <f>HYPERLINK("https://pbs.twimg.com/profile_images/925139259069227010/bIKI-Qmz.jpg","View")</f>
        <v>View</v>
      </c>
    </row>
    <row r="922" spans="1:21" ht="102">
      <c r="A922" s="6">
        <v>43441.851655092592</v>
      </c>
      <c r="B922" s="7" t="str">
        <f>HYPERLINK("https://twitter.com/MonteLuz2","@MonteLuz2")</f>
        <v>@MonteLuz2</v>
      </c>
      <c r="C922" s="8" t="s">
        <v>4988</v>
      </c>
      <c r="D922" s="9" t="s">
        <v>4989</v>
      </c>
      <c r="E922" s="10" t="str">
        <f>HYPERLINK("https://twitter.com/MonteLuz2/status/1071123777411563520","1071123777411563520")</f>
        <v>1071123777411563520</v>
      </c>
      <c r="F922" s="12" t="s">
        <v>734</v>
      </c>
      <c r="G922" s="12" t="s">
        <v>735</v>
      </c>
      <c r="H922" s="11"/>
      <c r="I922" s="13">
        <v>1</v>
      </c>
      <c r="J922" s="13">
        <v>1</v>
      </c>
      <c r="K922" s="14" t="str">
        <f t="shared" si="173"/>
        <v>Twitter for iPhone</v>
      </c>
      <c r="L922" s="13">
        <v>117</v>
      </c>
      <c r="M922" s="13">
        <v>325</v>
      </c>
      <c r="N922" s="13">
        <v>0</v>
      </c>
      <c r="O922" s="15"/>
      <c r="P922" s="6">
        <v>41243.015972222223</v>
      </c>
      <c r="Q922" s="18" t="s">
        <v>4990</v>
      </c>
      <c r="R922" s="19" t="s">
        <v>4991</v>
      </c>
      <c r="S922" s="11"/>
      <c r="T922" s="11"/>
      <c r="U922" s="10" t="str">
        <f>HYPERLINK("https://pbs.twimg.com/profile_images/2912613588/0c587ef70076ff6b090474020e1dc339.jpeg","View")</f>
        <v>View</v>
      </c>
    </row>
    <row r="923" spans="1:21" ht="30.6">
      <c r="A923" s="6">
        <v>43441.850150462968</v>
      </c>
      <c r="B923" s="7" t="str">
        <f>HYPERLINK("https://twitter.com/Lanzarote6","@Lanzarote6")</f>
        <v>@Lanzarote6</v>
      </c>
      <c r="C923" s="8" t="s">
        <v>4992</v>
      </c>
      <c r="D923" s="9" t="s">
        <v>4993</v>
      </c>
      <c r="E923" s="10" t="str">
        <f>HYPERLINK("https://twitter.com/Lanzarote6/status/1071123231896207360","1071123231896207360")</f>
        <v>1071123231896207360</v>
      </c>
      <c r="F923" s="12" t="s">
        <v>4994</v>
      </c>
      <c r="G923" s="11"/>
      <c r="H923" s="11"/>
      <c r="I923" s="13">
        <v>0</v>
      </c>
      <c r="J923" s="13">
        <v>0</v>
      </c>
      <c r="K923" s="14" t="str">
        <f>HYPERLINK("http://twitter.com","Twitter Web Client")</f>
        <v>Twitter Web Client</v>
      </c>
      <c r="L923" s="13">
        <v>1710</v>
      </c>
      <c r="M923" s="13">
        <v>1983</v>
      </c>
      <c r="N923" s="13">
        <v>66</v>
      </c>
      <c r="O923" s="15"/>
      <c r="P923" s="6">
        <v>41110.588761574072</v>
      </c>
      <c r="Q923" s="18" t="s">
        <v>42</v>
      </c>
      <c r="R923" s="19" t="s">
        <v>4995</v>
      </c>
      <c r="S923" s="11"/>
      <c r="T923" s="11"/>
      <c r="U923" s="10" t="str">
        <f>HYPERLINK("https://pbs.twimg.com/profile_images/2444742688/1drmyb1t4lr2kitejfxo.jpeg","View")</f>
        <v>View</v>
      </c>
    </row>
    <row r="924" spans="1:21" ht="40.799999999999997">
      <c r="A924" s="6">
        <v>43441.844965277778</v>
      </c>
      <c r="B924" s="7" t="str">
        <f>HYPERLINK("https://twitter.com/miguelricNAV","@miguelricNAV")</f>
        <v>@miguelricNAV</v>
      </c>
      <c r="C924" s="8" t="s">
        <v>4996</v>
      </c>
      <c r="D924" s="9" t="s">
        <v>4997</v>
      </c>
      <c r="E924" s="10" t="str">
        <f>HYPERLINK("https://twitter.com/miguelricNAV/status/1071121352264945666","1071121352264945666")</f>
        <v>1071121352264945666</v>
      </c>
      <c r="F924" s="12" t="s">
        <v>1442</v>
      </c>
      <c r="G924" s="11"/>
      <c r="H924" s="11"/>
      <c r="I924" s="13">
        <v>0</v>
      </c>
      <c r="J924" s="13">
        <v>0</v>
      </c>
      <c r="K924" s="14" t="str">
        <f>HYPERLINK("http://twitter.com/download/android","Twitter for Android")</f>
        <v>Twitter for Android</v>
      </c>
      <c r="L924" s="13">
        <v>3001</v>
      </c>
      <c r="M924" s="13">
        <v>3460</v>
      </c>
      <c r="N924" s="13">
        <v>62</v>
      </c>
      <c r="O924" s="15"/>
      <c r="P924" s="6">
        <v>40453.772037037037</v>
      </c>
      <c r="Q924" s="18" t="s">
        <v>1878</v>
      </c>
      <c r="R924" s="19" t="s">
        <v>4998</v>
      </c>
      <c r="S924" s="11"/>
      <c r="T924" s="11"/>
      <c r="U924" s="10" t="str">
        <f>HYPERLINK("https://pbs.twimg.com/profile_images/981602890388328449/W9voNX9J.jpg","View")</f>
        <v>View</v>
      </c>
    </row>
    <row r="925" spans="1:21" ht="51">
      <c r="A925" s="6">
        <v>43441.844884259262</v>
      </c>
      <c r="B925" s="7" t="str">
        <f>HYPERLINK("https://twitter.com/fdiaz_p","@fdiaz_p")</f>
        <v>@fdiaz_p</v>
      </c>
      <c r="C925" s="8" t="s">
        <v>4890</v>
      </c>
      <c r="D925" s="9" t="s">
        <v>4999</v>
      </c>
      <c r="E925" s="10" t="str">
        <f>HYPERLINK("https://twitter.com/fdiaz_p/status/1071121322774851584","1071121322774851584")</f>
        <v>1071121322774851584</v>
      </c>
      <c r="F925" s="18" t="s">
        <v>5000</v>
      </c>
      <c r="G925" s="11"/>
      <c r="H925" s="11"/>
      <c r="I925" s="13">
        <v>0</v>
      </c>
      <c r="J925" s="13">
        <v>0</v>
      </c>
      <c r="K925" s="14" t="str">
        <f>HYPERLINK("http://twitter.com/download/iphone","Twitter for iPhone")</f>
        <v>Twitter for iPhone</v>
      </c>
      <c r="L925" s="13">
        <v>1025</v>
      </c>
      <c r="M925" s="13">
        <v>1125</v>
      </c>
      <c r="N925" s="13">
        <v>20</v>
      </c>
      <c r="O925" s="15"/>
      <c r="P925" s="6">
        <v>40922.892210648148</v>
      </c>
      <c r="Q925" s="18" t="s">
        <v>4893</v>
      </c>
      <c r="R925" s="19" t="s">
        <v>4894</v>
      </c>
      <c r="S925" s="12" t="s">
        <v>4895</v>
      </c>
      <c r="T925" s="11"/>
      <c r="U925" s="10" t="str">
        <f>HYPERLINK("https://pbs.twimg.com/profile_images/1004080179650625537/GPWzjyZ_.jpg","View")</f>
        <v>View</v>
      </c>
    </row>
    <row r="926" spans="1:21" ht="51">
      <c r="A926" s="6">
        <v>43441.843935185185</v>
      </c>
      <c r="B926" s="7" t="str">
        <f>HYPERLINK("https://twitter.com/Rparre84","@Rparre84")</f>
        <v>@Rparre84</v>
      </c>
      <c r="C926" s="8" t="s">
        <v>1802</v>
      </c>
      <c r="D926" s="9" t="s">
        <v>1803</v>
      </c>
      <c r="E926" s="10" t="str">
        <f>HYPERLINK("https://twitter.com/Rparre84/status/1071120977214476291","1071120977214476291")</f>
        <v>1071120977214476291</v>
      </c>
      <c r="F926" s="18" t="s">
        <v>1804</v>
      </c>
      <c r="G926" s="11"/>
      <c r="H926" s="11"/>
      <c r="I926" s="13">
        <v>2</v>
      </c>
      <c r="J926" s="13">
        <v>3</v>
      </c>
      <c r="K926" s="14" t="str">
        <f>HYPERLINK("http://twitter.com/download/android","Twitter for Android")</f>
        <v>Twitter for Android</v>
      </c>
      <c r="L926" s="13">
        <v>149</v>
      </c>
      <c r="M926" s="13">
        <v>621</v>
      </c>
      <c r="N926" s="13">
        <v>2</v>
      </c>
      <c r="O926" s="15"/>
      <c r="P926" s="6">
        <v>40545.594155092593</v>
      </c>
      <c r="Q926" s="18" t="s">
        <v>1806</v>
      </c>
      <c r="R926" s="19" t="s">
        <v>1807</v>
      </c>
      <c r="S926" s="11"/>
      <c r="T926" s="11"/>
      <c r="U926" s="10" t="str">
        <f>HYPERLINK("https://pbs.twimg.com/profile_images/1040622541105188864/EiqNa18g.jpg","View")</f>
        <v>View</v>
      </c>
    </row>
    <row r="927" spans="1:21" ht="30.6">
      <c r="A927" s="6">
        <v>43441.84375</v>
      </c>
      <c r="B927" s="7" t="str">
        <f>HYPERLINK("https://twitter.com/solutionsLab","@solutionsLab")</f>
        <v>@solutionsLab</v>
      </c>
      <c r="C927" s="8" t="s">
        <v>5001</v>
      </c>
      <c r="D927" s="9" t="s">
        <v>5002</v>
      </c>
      <c r="E927" s="10" t="str">
        <f>HYPERLINK("https://twitter.com/solutionsLab/status/1071120910680244224","1071120910680244224")</f>
        <v>1071120910680244224</v>
      </c>
      <c r="F927" s="12" t="s">
        <v>5004</v>
      </c>
      <c r="G927" s="11"/>
      <c r="H927" s="11"/>
      <c r="I927" s="13">
        <v>0</v>
      </c>
      <c r="J927" s="13">
        <v>0</v>
      </c>
      <c r="K927" s="14" t="str">
        <f>HYPERLINK("http://www.facebook.com/twitter","Facebook")</f>
        <v>Facebook</v>
      </c>
      <c r="L927" s="13">
        <v>240</v>
      </c>
      <c r="M927" s="13">
        <v>481</v>
      </c>
      <c r="N927" s="13">
        <v>94</v>
      </c>
      <c r="O927" s="15"/>
      <c r="P927" s="6">
        <v>40744.423298611109</v>
      </c>
      <c r="Q927" s="18" t="s">
        <v>1708</v>
      </c>
      <c r="R927" s="19" t="s">
        <v>5005</v>
      </c>
      <c r="S927" s="12" t="s">
        <v>5006</v>
      </c>
      <c r="T927" s="11"/>
      <c r="U927" s="10" t="str">
        <f>HYPERLINK("https://pbs.twimg.com/profile_images/378800000792350418/cff62bae966ba232c06ba644158379a6.jpeg","View")</f>
        <v>View</v>
      </c>
    </row>
    <row r="928" spans="1:21" ht="51">
      <c r="A928" s="6">
        <v>43441.843263888892</v>
      </c>
      <c r="B928" s="7" t="str">
        <f>HYPERLINK("https://twitter.com/twiterdeelfakir","@twiterdeelfakir")</f>
        <v>@twiterdeelfakir</v>
      </c>
      <c r="C928" s="8" t="s">
        <v>1808</v>
      </c>
      <c r="D928" s="9" t="s">
        <v>1809</v>
      </c>
      <c r="E928" s="10" t="str">
        <f>HYPERLINK("https://twitter.com/twiterdeelfakir/status/1071120733844201472","1071120733844201472")</f>
        <v>1071120733844201472</v>
      </c>
      <c r="F928" s="11"/>
      <c r="G928" s="12" t="s">
        <v>1810</v>
      </c>
      <c r="H928" s="11"/>
      <c r="I928" s="13">
        <v>5</v>
      </c>
      <c r="J928" s="13">
        <v>7</v>
      </c>
      <c r="K928" s="14" t="str">
        <f t="shared" ref="K928:K929" si="174">HYPERLINK("http://twitter.com/download/android","Twitter for Android")</f>
        <v>Twitter for Android</v>
      </c>
      <c r="L928" s="13">
        <v>5472</v>
      </c>
      <c r="M928" s="13">
        <v>5206</v>
      </c>
      <c r="N928" s="13">
        <v>158</v>
      </c>
      <c r="O928" s="15"/>
      <c r="P928" s="6">
        <v>40306.563622685186</v>
      </c>
      <c r="Q928" s="11"/>
      <c r="R928" s="19" t="s">
        <v>1811</v>
      </c>
      <c r="S928" s="11"/>
      <c r="T928" s="11"/>
      <c r="U928" s="10" t="str">
        <f>HYPERLINK("https://pbs.twimg.com/profile_images/1063432165164285954/TCn4sdvu.jpg","View")</f>
        <v>View</v>
      </c>
    </row>
    <row r="929" spans="1:21" ht="30.6">
      <c r="A929" s="6">
        <v>43441.842893518522</v>
      </c>
      <c r="B929" s="7" t="str">
        <f>HYPERLINK("https://twitter.com/CatalanAnalyst","@CatalanAnalyst")</f>
        <v>@CatalanAnalyst</v>
      </c>
      <c r="C929" s="8" t="s">
        <v>5007</v>
      </c>
      <c r="D929" s="9" t="s">
        <v>3010</v>
      </c>
      <c r="E929" s="10" t="str">
        <f>HYPERLINK("https://twitter.com/CatalanAnalyst/status/1071120599722983425","1071120599722983425")</f>
        <v>1071120599722983425</v>
      </c>
      <c r="F929" s="12" t="s">
        <v>5008</v>
      </c>
      <c r="G929" s="11"/>
      <c r="H929" s="11"/>
      <c r="I929" s="13">
        <v>0</v>
      </c>
      <c r="J929" s="13">
        <v>0</v>
      </c>
      <c r="K929" s="14" t="str">
        <f t="shared" si="174"/>
        <v>Twitter for Android</v>
      </c>
      <c r="L929" s="13">
        <v>1559</v>
      </c>
      <c r="M929" s="13">
        <v>1063</v>
      </c>
      <c r="N929" s="13">
        <v>56</v>
      </c>
      <c r="O929" s="15"/>
      <c r="P929" s="6">
        <v>42228.675289351857</v>
      </c>
      <c r="Q929" s="18" t="s">
        <v>5009</v>
      </c>
      <c r="R929" s="23" t="s">
        <v>5010</v>
      </c>
      <c r="S929" s="12" t="s">
        <v>5011</v>
      </c>
      <c r="T929" s="11"/>
      <c r="U929" s="10" t="str">
        <f>HYPERLINK("https://pbs.twimg.com/profile_images/672374611246452738/oM1fXmFA.jpg","View")</f>
        <v>View</v>
      </c>
    </row>
    <row r="930" spans="1:21" ht="30.6">
      <c r="A930" s="6">
        <v>43441.841400462959</v>
      </c>
      <c r="B930" s="7" t="str">
        <f>HYPERLINK("https://twitter.com/fingirvolar","@fingirvolar")</f>
        <v>@fingirvolar</v>
      </c>
      <c r="C930" s="8" t="s">
        <v>5012</v>
      </c>
      <c r="D930" s="9" t="s">
        <v>5013</v>
      </c>
      <c r="E930" s="10" t="str">
        <f>HYPERLINK("https://twitter.com/fingirvolar/status/1071120061782523904","1071120061782523904")</f>
        <v>1071120061782523904</v>
      </c>
      <c r="F930" s="11"/>
      <c r="G930" s="11"/>
      <c r="H930" s="11"/>
      <c r="I930" s="13">
        <v>0</v>
      </c>
      <c r="J930" s="13">
        <v>2</v>
      </c>
      <c r="K930" s="14" t="str">
        <f>HYPERLINK("http://twitter.com","Twitter Web Client")</f>
        <v>Twitter Web Client</v>
      </c>
      <c r="L930" s="13">
        <v>213</v>
      </c>
      <c r="M930" s="13">
        <v>193</v>
      </c>
      <c r="N930" s="13">
        <v>2</v>
      </c>
      <c r="O930" s="15"/>
      <c r="P930" s="6">
        <v>42343.494837962964</v>
      </c>
      <c r="Q930" s="18" t="s">
        <v>5014</v>
      </c>
      <c r="R930" s="19" t="s">
        <v>5015</v>
      </c>
      <c r="S930" s="11"/>
      <c r="T930" s="11"/>
      <c r="U930" s="10" t="str">
        <f>HYPERLINK("https://pbs.twimg.com/profile_images/1064254683823448065/lOVqK09b.jpg","View")</f>
        <v>View</v>
      </c>
    </row>
    <row r="931" spans="1:21" ht="81.599999999999994">
      <c r="A931" s="6">
        <v>43441.841249999998</v>
      </c>
      <c r="B931" s="7" t="str">
        <f>HYPERLINK("https://twitter.com/1789Libertario","@1789Libertario")</f>
        <v>@1789Libertario</v>
      </c>
      <c r="C931" s="8" t="s">
        <v>1814</v>
      </c>
      <c r="D931" s="9" t="s">
        <v>1815</v>
      </c>
      <c r="E931" s="10" t="str">
        <f>HYPERLINK("https://twitter.com/1789Libertario/status/1071120005528543235","1071120005528543235")</f>
        <v>1071120005528543235</v>
      </c>
      <c r="F931" s="18" t="s">
        <v>552</v>
      </c>
      <c r="G931" s="11"/>
      <c r="H931" s="11"/>
      <c r="I931" s="13">
        <v>1</v>
      </c>
      <c r="J931" s="13">
        <v>3</v>
      </c>
      <c r="K931" s="14" t="str">
        <f>HYPERLINK("http://twitter.com/#!/download/ipad","Twitter for iPad")</f>
        <v>Twitter for iPad</v>
      </c>
      <c r="L931" s="13">
        <v>437</v>
      </c>
      <c r="M931" s="13">
        <v>688</v>
      </c>
      <c r="N931" s="13">
        <v>3</v>
      </c>
      <c r="O931" s="15"/>
      <c r="P931" s="6">
        <v>41918.548611111109</v>
      </c>
      <c r="Q931" s="18" t="s">
        <v>1816</v>
      </c>
      <c r="R931" s="19" t="s">
        <v>1817</v>
      </c>
      <c r="S931" s="11"/>
      <c r="T931" s="11"/>
      <c r="U931" s="10" t="str">
        <f>HYPERLINK("https://pbs.twimg.com/profile_images/1016701535517052928/lAdZkxH1.jpg","View")</f>
        <v>View</v>
      </c>
    </row>
    <row r="932" spans="1:21" ht="51">
      <c r="A932" s="6">
        <v>43441.841249999998</v>
      </c>
      <c r="B932" s="7" t="str">
        <f>HYPERLINK("https://twitter.com/MercatLes","@MercatLes")</f>
        <v>@MercatLes</v>
      </c>
      <c r="C932" s="8" t="s">
        <v>1818</v>
      </c>
      <c r="D932" s="9" t="s">
        <v>1819</v>
      </c>
      <c r="E932" s="10" t="str">
        <f>HYPERLINK("https://twitter.com/MercatLes/status/1071120003842363393","1071120003842363393")</f>
        <v>1071120003842363393</v>
      </c>
      <c r="F932" s="12" t="s">
        <v>1822</v>
      </c>
      <c r="G932" s="11"/>
      <c r="H932" s="11"/>
      <c r="I932" s="13">
        <v>0</v>
      </c>
      <c r="J932" s="13">
        <v>0</v>
      </c>
      <c r="K932" s="14" t="str">
        <f>HYPERLINK("http://twitter.com/download/android","Twitter for Android")</f>
        <v>Twitter for Android</v>
      </c>
      <c r="L932" s="13">
        <v>586</v>
      </c>
      <c r="M932" s="13">
        <v>836</v>
      </c>
      <c r="N932" s="13">
        <v>17</v>
      </c>
      <c r="O932" s="15"/>
      <c r="P932" s="6">
        <v>43211.597939814819</v>
      </c>
      <c r="Q932" s="18" t="s">
        <v>1823</v>
      </c>
      <c r="R932" s="19" t="s">
        <v>1824</v>
      </c>
      <c r="S932" s="11"/>
      <c r="T932" s="11"/>
      <c r="U932" s="10" t="str">
        <f>HYPERLINK("https://pbs.twimg.com/profile_images/987668895346712577/3y0w2WS8.jpg","View")</f>
        <v>View</v>
      </c>
    </row>
    <row r="933" spans="1:21" ht="20.399999999999999">
      <c r="A933" s="6">
        <v>43441.840312500004</v>
      </c>
      <c r="B933" s="7" t="str">
        <f>HYPERLINK("https://twitter.com/GlezFeder","@GlezFeder")</f>
        <v>@GlezFeder</v>
      </c>
      <c r="C933" s="8" t="s">
        <v>5016</v>
      </c>
      <c r="D933" s="9" t="s">
        <v>5017</v>
      </c>
      <c r="E933" s="10" t="str">
        <f>HYPERLINK("https://twitter.com/GlezFeder/status/1071119664837738497","1071119664837738497")</f>
        <v>1071119664837738497</v>
      </c>
      <c r="F933" s="12" t="s">
        <v>4327</v>
      </c>
      <c r="G933" s="11"/>
      <c r="H933" s="11"/>
      <c r="I933" s="13">
        <v>0</v>
      </c>
      <c r="J933" s="13">
        <v>0</v>
      </c>
      <c r="K933" s="14" t="str">
        <f>HYPERLINK("http://twitter.com","Twitter Web Client")</f>
        <v>Twitter Web Client</v>
      </c>
      <c r="L933" s="13">
        <v>237</v>
      </c>
      <c r="M933" s="13">
        <v>267</v>
      </c>
      <c r="N933" s="13">
        <v>2</v>
      </c>
      <c r="O933" s="15"/>
      <c r="P933" s="6">
        <v>43247.825613425928</v>
      </c>
      <c r="Q933" s="18" t="s">
        <v>5018</v>
      </c>
      <c r="R933" s="19" t="s">
        <v>5019</v>
      </c>
      <c r="S933" s="11"/>
      <c r="T933" s="11"/>
      <c r="U933" s="10" t="str">
        <f>HYPERLINK("https://pbs.twimg.com/profile_images/1060247976700973056/3K9K-vjB.jpg","View")</f>
        <v>View</v>
      </c>
    </row>
    <row r="934" spans="1:21" ht="51">
      <c r="A934" s="6">
        <v>43441.840057870373</v>
      </c>
      <c r="B934" s="7" t="str">
        <f>HYPERLINK("https://twitter.com/CabreadoIronico","@CabreadoIronico")</f>
        <v>@CabreadoIronico</v>
      </c>
      <c r="C934" s="8" t="s">
        <v>1825</v>
      </c>
      <c r="D934" s="9" t="s">
        <v>1826</v>
      </c>
      <c r="E934" s="10" t="str">
        <f>HYPERLINK("https://twitter.com/CabreadoIronico/status/1071119574177906692","1071119574177906692")</f>
        <v>1071119574177906692</v>
      </c>
      <c r="F934" s="11"/>
      <c r="G934" s="11"/>
      <c r="H934" s="11"/>
      <c r="I934" s="13">
        <v>0</v>
      </c>
      <c r="J934" s="13">
        <v>2</v>
      </c>
      <c r="K934" s="14" t="str">
        <f t="shared" ref="K934:K938" si="175">HYPERLINK("http://twitter.com/download/android","Twitter for Android")</f>
        <v>Twitter for Android</v>
      </c>
      <c r="L934" s="13">
        <v>15</v>
      </c>
      <c r="M934" s="13">
        <v>127</v>
      </c>
      <c r="N934" s="13">
        <v>0</v>
      </c>
      <c r="O934" s="15"/>
      <c r="P934" s="6">
        <v>43438.227893518517</v>
      </c>
      <c r="Q934" s="11"/>
      <c r="R934" s="17"/>
      <c r="S934" s="11"/>
      <c r="T934" s="11"/>
      <c r="U934" s="10" t="str">
        <f>HYPERLINK("https://pbs.twimg.com/profile_images/1069811905978687488/PVh96F51.jpg","View")</f>
        <v>View</v>
      </c>
    </row>
    <row r="935" spans="1:21" ht="40.799999999999997">
      <c r="A935" s="6">
        <v>43441.839699074073</v>
      </c>
      <c r="B935" s="7" t="str">
        <f>HYPERLINK("https://twitter.com/Bakali_11","@Bakali_11")</f>
        <v>@Bakali_11</v>
      </c>
      <c r="C935" s="8" t="s">
        <v>1827</v>
      </c>
      <c r="D935" s="9" t="s">
        <v>1828</v>
      </c>
      <c r="E935" s="10" t="str">
        <f>HYPERLINK("https://twitter.com/Bakali_11/status/1071119442195689472","1071119442195689472")</f>
        <v>1071119442195689472</v>
      </c>
      <c r="F935" s="12" t="s">
        <v>1829</v>
      </c>
      <c r="G935" s="12" t="s">
        <v>1830</v>
      </c>
      <c r="H935" s="11"/>
      <c r="I935" s="13">
        <v>6</v>
      </c>
      <c r="J935" s="13">
        <v>9</v>
      </c>
      <c r="K935" s="14" t="str">
        <f t="shared" si="175"/>
        <v>Twitter for Android</v>
      </c>
      <c r="L935" s="13">
        <v>2378</v>
      </c>
      <c r="M935" s="13">
        <v>1857</v>
      </c>
      <c r="N935" s="13">
        <v>25</v>
      </c>
      <c r="O935" s="15"/>
      <c r="P935" s="6">
        <v>42443.964374999996</v>
      </c>
      <c r="Q935" s="18" t="s">
        <v>246</v>
      </c>
      <c r="R935" s="19" t="s">
        <v>1831</v>
      </c>
      <c r="S935" s="12" t="s">
        <v>1832</v>
      </c>
      <c r="T935" s="11"/>
      <c r="U935" s="10" t="str">
        <f>HYPERLINK("https://pbs.twimg.com/profile_images/1049075205916839936/F12wyOxI.jpg","View")</f>
        <v>View</v>
      </c>
    </row>
    <row r="936" spans="1:21" ht="61.2">
      <c r="A936" s="6">
        <v>43441.839201388888</v>
      </c>
      <c r="B936" s="7" t="str">
        <f>HYPERLINK("https://twitter.com/ipocolisto","@ipocolisto")</f>
        <v>@ipocolisto</v>
      </c>
      <c r="C936" s="8" t="s">
        <v>1834</v>
      </c>
      <c r="D936" s="9" t="s">
        <v>1835</v>
      </c>
      <c r="E936" s="10" t="str">
        <f>HYPERLINK("https://twitter.com/ipocolisto/status/1071119261811265542","1071119261811265542")</f>
        <v>1071119261811265542</v>
      </c>
      <c r="F936" s="11"/>
      <c r="G936" s="11"/>
      <c r="H936" s="11"/>
      <c r="I936" s="13">
        <v>0</v>
      </c>
      <c r="J936" s="13">
        <v>0</v>
      </c>
      <c r="K936" s="14" t="str">
        <f t="shared" si="175"/>
        <v>Twitter for Android</v>
      </c>
      <c r="L936" s="13">
        <v>16</v>
      </c>
      <c r="M936" s="13">
        <v>123</v>
      </c>
      <c r="N936" s="13">
        <v>0</v>
      </c>
      <c r="O936" s="15"/>
      <c r="P936" s="6">
        <v>43367.895115740743</v>
      </c>
      <c r="Q936" s="18" t="s">
        <v>1836</v>
      </c>
      <c r="R936" s="19" t="s">
        <v>1837</v>
      </c>
      <c r="S936" s="11"/>
      <c r="T936" s="11"/>
      <c r="U936" s="10" t="str">
        <f>HYPERLINK("https://pbs.twimg.com/profile_images/1053894900192813056/bv53Z-Gy.jpg","View")</f>
        <v>View</v>
      </c>
    </row>
    <row r="937" spans="1:21" ht="30.6">
      <c r="A937" s="6">
        <v>43441.83871527778</v>
      </c>
      <c r="B937" s="7" t="str">
        <f>HYPERLINK("https://twitter.com/ConviccionM","@ConviccionM")</f>
        <v>@ConviccionM</v>
      </c>
      <c r="C937" s="8" t="s">
        <v>5021</v>
      </c>
      <c r="D937" s="9" t="s">
        <v>1152</v>
      </c>
      <c r="E937" s="10" t="str">
        <f>HYPERLINK("https://twitter.com/ConviccionM/status/1071119085432389633","1071119085432389633")</f>
        <v>1071119085432389633</v>
      </c>
      <c r="F937" s="12" t="s">
        <v>5022</v>
      </c>
      <c r="G937" s="11"/>
      <c r="H937" s="11"/>
      <c r="I937" s="13">
        <v>0</v>
      </c>
      <c r="J937" s="13">
        <v>0</v>
      </c>
      <c r="K937" s="14" t="str">
        <f t="shared" si="175"/>
        <v>Twitter for Android</v>
      </c>
      <c r="L937" s="13">
        <v>40</v>
      </c>
      <c r="M937" s="13">
        <v>213</v>
      </c>
      <c r="N937" s="13">
        <v>1</v>
      </c>
      <c r="O937" s="15"/>
      <c r="P937" s="6">
        <v>43396.275497685187</v>
      </c>
      <c r="Q937" s="11"/>
      <c r="R937" s="19" t="s">
        <v>5023</v>
      </c>
      <c r="S937" s="11"/>
      <c r="T937" s="11"/>
      <c r="U937" s="10" t="str">
        <f>HYPERLINK("https://pbs.twimg.com/profile_images/1054597745070260224/XBywOxlb.jpg","View")</f>
        <v>View</v>
      </c>
    </row>
    <row r="938" spans="1:21" ht="30.6">
      <c r="A938" s="6">
        <v>43441.838692129633</v>
      </c>
      <c r="B938" s="7" t="str">
        <f>HYPERLINK("https://twitter.com/IndignadosVezla","@IndignadosVezla")</f>
        <v>@IndignadosVezla</v>
      </c>
      <c r="C938" s="8" t="s">
        <v>5024</v>
      </c>
      <c r="D938" s="9" t="s">
        <v>5025</v>
      </c>
      <c r="E938" s="10" t="str">
        <f>HYPERLINK("https://twitter.com/IndignadosVezla/status/1071119078645997568","1071119078645997568")</f>
        <v>1071119078645997568</v>
      </c>
      <c r="F938" s="12" t="s">
        <v>4172</v>
      </c>
      <c r="G938" s="11"/>
      <c r="H938" s="11"/>
      <c r="I938" s="13">
        <v>13</v>
      </c>
      <c r="J938" s="13">
        <v>10</v>
      </c>
      <c r="K938" s="14" t="str">
        <f t="shared" si="175"/>
        <v>Twitter for Android</v>
      </c>
      <c r="L938" s="13">
        <v>156233</v>
      </c>
      <c r="M938" s="13">
        <v>17090</v>
      </c>
      <c r="N938" s="13">
        <v>531</v>
      </c>
      <c r="O938" s="15"/>
      <c r="P938" s="6">
        <v>41458.295937499999</v>
      </c>
      <c r="Q938" s="18" t="s">
        <v>5026</v>
      </c>
      <c r="R938" s="19" t="s">
        <v>5027</v>
      </c>
      <c r="S938" s="11"/>
      <c r="T938" s="11"/>
      <c r="U938" s="10" t="str">
        <f>HYPERLINK("https://pbs.twimg.com/profile_images/1009637178366939137/zC2Gn_1X.jpg","View")</f>
        <v>View</v>
      </c>
    </row>
    <row r="939" spans="1:21" ht="51">
      <c r="A939" s="6">
        <v>43441.837372685186</v>
      </c>
      <c r="B939" s="7" t="str">
        <f>HYPERLINK("https://twitter.com/AIf0ns0","@AIf0ns0")</f>
        <v>@AIf0ns0</v>
      </c>
      <c r="C939" s="8" t="s">
        <v>1838</v>
      </c>
      <c r="D939" s="9" t="s">
        <v>1839</v>
      </c>
      <c r="E939" s="10" t="str">
        <f>HYPERLINK("https://twitter.com/AIf0ns0/status/1071118600180776960","1071118600180776960")</f>
        <v>1071118600180776960</v>
      </c>
      <c r="F939" s="11"/>
      <c r="G939" s="12" t="s">
        <v>1840</v>
      </c>
      <c r="H939" s="11"/>
      <c r="I939" s="13">
        <v>0</v>
      </c>
      <c r="J939" s="13">
        <v>0</v>
      </c>
      <c r="K939" s="14" t="str">
        <f>HYPERLINK("http://twitter.com/download/iphone","Twitter for iPhone")</f>
        <v>Twitter for iPhone</v>
      </c>
      <c r="L939" s="13">
        <v>2369</v>
      </c>
      <c r="M939" s="13">
        <v>2362</v>
      </c>
      <c r="N939" s="13">
        <v>14</v>
      </c>
      <c r="O939" s="15"/>
      <c r="P939" s="6">
        <v>41844.687476851854</v>
      </c>
      <c r="Q939" s="18" t="s">
        <v>1843</v>
      </c>
      <c r="R939" s="19" t="s">
        <v>1844</v>
      </c>
      <c r="S939" s="12" t="s">
        <v>1845</v>
      </c>
      <c r="T939" s="11"/>
      <c r="U939" s="10" t="str">
        <f>HYPERLINK("https://pbs.twimg.com/profile_images/679346118002626560/ASNPEjIc.jpg","View")</f>
        <v>View</v>
      </c>
    </row>
    <row r="940" spans="1:21" ht="40.799999999999997">
      <c r="A940" s="6">
        <v>43441.83729166667</v>
      </c>
      <c r="B940" s="7" t="str">
        <f>HYPERLINK("https://twitter.com/JLP11959","@JLP11959")</f>
        <v>@JLP11959</v>
      </c>
      <c r="C940" s="8" t="s">
        <v>1847</v>
      </c>
      <c r="D940" s="9" t="s">
        <v>1848</v>
      </c>
      <c r="E940" s="10" t="str">
        <f>HYPERLINK("https://twitter.com/JLP11959/status/1071118570212507648","1071118570212507648")</f>
        <v>1071118570212507648</v>
      </c>
      <c r="F940" s="11"/>
      <c r="G940" s="12" t="s">
        <v>1849</v>
      </c>
      <c r="H940" s="11"/>
      <c r="I940" s="13">
        <v>9</v>
      </c>
      <c r="J940" s="13">
        <v>7</v>
      </c>
      <c r="K940" s="14" t="str">
        <f t="shared" ref="K940:K941" si="176">HYPERLINK("http://twitter.com/download/android","Twitter for Android")</f>
        <v>Twitter for Android</v>
      </c>
      <c r="L940" s="13">
        <v>5706</v>
      </c>
      <c r="M940" s="13">
        <v>4329</v>
      </c>
      <c r="N940" s="13">
        <v>19</v>
      </c>
      <c r="O940" s="15"/>
      <c r="P940" s="6">
        <v>42259.751666666663</v>
      </c>
      <c r="Q940" s="18" t="s">
        <v>1850</v>
      </c>
      <c r="R940" s="19" t="s">
        <v>1851</v>
      </c>
      <c r="S940" s="11"/>
      <c r="T940" s="11"/>
      <c r="U940" s="10" t="str">
        <f>HYPERLINK("https://pbs.twimg.com/profile_images/716610355330473984/VlwAwNbi.jpg","View")</f>
        <v>View</v>
      </c>
    </row>
    <row r="941" spans="1:21" ht="40.799999999999997">
      <c r="A941" s="6">
        <v>43441.836712962962</v>
      </c>
      <c r="B941" s="7" t="str">
        <f>HYPERLINK("https://twitter.com/JCGarciat15","@JCGarciat15")</f>
        <v>@JCGarciat15</v>
      </c>
      <c r="C941" s="8" t="s">
        <v>5028</v>
      </c>
      <c r="D941" s="9" t="s">
        <v>5029</v>
      </c>
      <c r="E941" s="10" t="str">
        <f>HYPERLINK("https://twitter.com/JCGarciat15/status/1071118361470357504","1071118361470357504")</f>
        <v>1071118361470357504</v>
      </c>
      <c r="F941" s="11"/>
      <c r="G941" s="11"/>
      <c r="H941" s="11"/>
      <c r="I941" s="13">
        <v>0</v>
      </c>
      <c r="J941" s="13">
        <v>1</v>
      </c>
      <c r="K941" s="14" t="str">
        <f t="shared" si="176"/>
        <v>Twitter for Android</v>
      </c>
      <c r="L941" s="13">
        <v>172</v>
      </c>
      <c r="M941" s="13">
        <v>545</v>
      </c>
      <c r="N941" s="13">
        <v>6</v>
      </c>
      <c r="O941" s="15"/>
      <c r="P941" s="6">
        <v>41810.652430555558</v>
      </c>
      <c r="Q941" s="18" t="s">
        <v>5030</v>
      </c>
      <c r="R941" s="19" t="s">
        <v>5031</v>
      </c>
      <c r="S941" s="11"/>
      <c r="T941" s="11"/>
      <c r="U941" s="10" t="str">
        <f>HYPERLINK("https://pbs.twimg.com/profile_images/1066762268350840833/liLGUH9i.jpg","View")</f>
        <v>View</v>
      </c>
    </row>
    <row r="942" spans="1:21" ht="40.799999999999997">
      <c r="A942" s="6">
        <v>43441.836284722223</v>
      </c>
      <c r="B942" s="7" t="str">
        <f>HYPERLINK("https://twitter.com/liblan13","@liblan13")</f>
        <v>@liblan13</v>
      </c>
      <c r="C942" s="8" t="s">
        <v>5032</v>
      </c>
      <c r="D942" s="9" t="s">
        <v>5033</v>
      </c>
      <c r="E942" s="10" t="str">
        <f>HYPERLINK("https://twitter.com/liblan13/status/1071118204620193793","1071118204620193793")</f>
        <v>1071118204620193793</v>
      </c>
      <c r="F942" s="11"/>
      <c r="G942" s="11"/>
      <c r="H942" s="11"/>
      <c r="I942" s="13">
        <v>0</v>
      </c>
      <c r="J942" s="13">
        <v>0</v>
      </c>
      <c r="K942" s="14" t="str">
        <f>HYPERLINK("http://twitter.com/download/iphone","Twitter for iPhone")</f>
        <v>Twitter for iPhone</v>
      </c>
      <c r="L942" s="13">
        <v>0</v>
      </c>
      <c r="M942" s="13">
        <v>2</v>
      </c>
      <c r="N942" s="13">
        <v>0</v>
      </c>
      <c r="O942" s="15"/>
      <c r="P942" s="6">
        <v>43418.821712962963</v>
      </c>
      <c r="Q942" s="11"/>
      <c r="R942" s="17"/>
      <c r="S942" s="11"/>
      <c r="T942" s="11"/>
      <c r="U942" s="16" t="s">
        <v>191</v>
      </c>
    </row>
    <row r="943" spans="1:21" ht="40.799999999999997">
      <c r="A943" s="6">
        <v>43441.83592592593</v>
      </c>
      <c r="B943" s="7" t="str">
        <f>HYPERLINK("https://twitter.com/martawarcry","@martawarcry")</f>
        <v>@martawarcry</v>
      </c>
      <c r="C943" s="8" t="s">
        <v>1852</v>
      </c>
      <c r="D943" s="9" t="s">
        <v>1853</v>
      </c>
      <c r="E943" s="10" t="str">
        <f>HYPERLINK("https://twitter.com/martawarcry/status/1071118078132568066","1071118078132568066")</f>
        <v>1071118078132568066</v>
      </c>
      <c r="F943" s="11"/>
      <c r="G943" s="12" t="s">
        <v>1855</v>
      </c>
      <c r="H943" s="11"/>
      <c r="I943" s="13">
        <v>2</v>
      </c>
      <c r="J943" s="13">
        <v>1</v>
      </c>
      <c r="K943" s="14" t="str">
        <f t="shared" ref="K943:K944" si="177">HYPERLINK("http://twitter.com/download/android","Twitter for Android")</f>
        <v>Twitter for Android</v>
      </c>
      <c r="L943" s="13">
        <v>4026</v>
      </c>
      <c r="M943" s="13">
        <v>4701</v>
      </c>
      <c r="N943" s="13">
        <v>7</v>
      </c>
      <c r="O943" s="15"/>
      <c r="P943" s="6">
        <v>41723.458240740743</v>
      </c>
      <c r="Q943" s="18" t="s">
        <v>1857</v>
      </c>
      <c r="R943" s="19" t="s">
        <v>1859</v>
      </c>
      <c r="S943" s="11"/>
      <c r="T943" s="11"/>
      <c r="U943" s="10" t="str">
        <f>HYPERLINK("https://pbs.twimg.com/profile_images/1071340033381199872/mLwWLvVd.jpg","View")</f>
        <v>View</v>
      </c>
    </row>
    <row r="944" spans="1:21" ht="30.6">
      <c r="A944" s="6">
        <v>43441.835844907408</v>
      </c>
      <c r="B944" s="7" t="str">
        <f>HYPERLINK("https://twitter.com/JoseManuelPorr9","@JoseManuelPorr9")</f>
        <v>@JoseManuelPorr9</v>
      </c>
      <c r="C944" s="8" t="s">
        <v>4965</v>
      </c>
      <c r="D944" s="9" t="s">
        <v>5034</v>
      </c>
      <c r="E944" s="10" t="str">
        <f>HYPERLINK("https://twitter.com/JoseManuelPorr9/status/1071118047509913600","1071118047509913600")</f>
        <v>1071118047509913600</v>
      </c>
      <c r="F944" s="18" t="s">
        <v>5035</v>
      </c>
      <c r="G944" s="11"/>
      <c r="H944" s="11"/>
      <c r="I944" s="13">
        <v>0</v>
      </c>
      <c r="J944" s="13">
        <v>0</v>
      </c>
      <c r="K944" s="14" t="str">
        <f t="shared" si="177"/>
        <v>Twitter for Android</v>
      </c>
      <c r="L944" s="13">
        <v>6</v>
      </c>
      <c r="M944" s="13">
        <v>34</v>
      </c>
      <c r="N944" s="13">
        <v>0</v>
      </c>
      <c r="O944" s="15"/>
      <c r="P944" s="6">
        <v>43440.431006944447</v>
      </c>
      <c r="Q944" s="11"/>
      <c r="R944" s="19" t="s">
        <v>4967</v>
      </c>
      <c r="S944" s="11"/>
      <c r="T944" s="11"/>
      <c r="U944" s="10" t="str">
        <f>HYPERLINK("https://pbs.twimg.com/profile_images/1070612229509271552/9Vm-r7Yc.jpg","View")</f>
        <v>View</v>
      </c>
    </row>
    <row r="945" spans="1:21" ht="30.6">
      <c r="A945" s="6">
        <v>43441.835810185185</v>
      </c>
      <c r="B945" s="7" t="str">
        <f>HYPERLINK("https://twitter.com/Abogados_MC","@Abogados_MC")</f>
        <v>@Abogados_MC</v>
      </c>
      <c r="C945" s="8" t="s">
        <v>5036</v>
      </c>
      <c r="D945" s="9" t="s">
        <v>5037</v>
      </c>
      <c r="E945" s="10" t="str">
        <f>HYPERLINK("https://twitter.com/Abogados_MC/status/1071118032624328706","1071118032624328706")</f>
        <v>1071118032624328706</v>
      </c>
      <c r="F945" s="11"/>
      <c r="G945" s="11"/>
      <c r="H945" s="11"/>
      <c r="I945" s="13">
        <v>0</v>
      </c>
      <c r="J945" s="13">
        <v>0</v>
      </c>
      <c r="K945" s="14" t="str">
        <f>HYPERLINK("http://twitter.com/download/iphone","Twitter for iPhone")</f>
        <v>Twitter for iPhone</v>
      </c>
      <c r="L945" s="13">
        <v>153</v>
      </c>
      <c r="M945" s="13">
        <v>321</v>
      </c>
      <c r="N945" s="13">
        <v>3</v>
      </c>
      <c r="O945" s="15"/>
      <c r="P945" s="6">
        <v>41709.888692129629</v>
      </c>
      <c r="Q945" s="11"/>
      <c r="R945" s="19" t="s">
        <v>5038</v>
      </c>
      <c r="S945" s="11"/>
      <c r="T945" s="11"/>
      <c r="U945" s="10" t="str">
        <f>HYPERLINK("https://pbs.twimg.com/profile_images/1030566569515122688/ad6SH872.jpg","View")</f>
        <v>View</v>
      </c>
    </row>
    <row r="946" spans="1:21" ht="30.6">
      <c r="A946" s="6">
        <v>43441.835405092592</v>
      </c>
      <c r="B946" s="7" t="str">
        <f>HYPERLINK("https://twitter.com/casanova_paco","@casanova_paco")</f>
        <v>@casanova_paco</v>
      </c>
      <c r="C946" s="8" t="s">
        <v>5039</v>
      </c>
      <c r="D946" s="9" t="s">
        <v>5040</v>
      </c>
      <c r="E946" s="10" t="str">
        <f>HYPERLINK("https://twitter.com/casanova_paco/status/1071117889476939778","1071117889476939778")</f>
        <v>1071117889476939778</v>
      </c>
      <c r="F946" s="11"/>
      <c r="G946" s="11"/>
      <c r="H946" s="11"/>
      <c r="I946" s="13">
        <v>1</v>
      </c>
      <c r="J946" s="13">
        <v>2</v>
      </c>
      <c r="K946" s="14" t="str">
        <f>HYPERLINK("http://twitter.com/download/android","Twitter for Android")</f>
        <v>Twitter for Android</v>
      </c>
      <c r="L946" s="13">
        <v>1372</v>
      </c>
      <c r="M946" s="13">
        <v>3005</v>
      </c>
      <c r="N946" s="13">
        <v>55</v>
      </c>
      <c r="O946" s="15"/>
      <c r="P946" s="6">
        <v>41369.687384259261</v>
      </c>
      <c r="Q946" s="11"/>
      <c r="R946" s="17"/>
      <c r="S946" s="11"/>
      <c r="T946" s="11"/>
      <c r="U946" s="16" t="s">
        <v>191</v>
      </c>
    </row>
    <row r="947" spans="1:21" ht="20.399999999999999">
      <c r="A947" s="6">
        <v>43441.835185185184</v>
      </c>
      <c r="B947" s="7" t="str">
        <f>HYPERLINK("https://twitter.com/brionespintor","@brionespintor")</f>
        <v>@brionespintor</v>
      </c>
      <c r="C947" s="8" t="s">
        <v>5041</v>
      </c>
      <c r="D947" s="9" t="s">
        <v>5042</v>
      </c>
      <c r="E947" s="10" t="str">
        <f>HYPERLINK("https://twitter.com/brionespintor/status/1071117809214722048","1071117809214722048")</f>
        <v>1071117809214722048</v>
      </c>
      <c r="F947" s="12" t="s">
        <v>5043</v>
      </c>
      <c r="G947" s="11"/>
      <c r="H947" s="11"/>
      <c r="I947" s="13">
        <v>0</v>
      </c>
      <c r="J947" s="13">
        <v>0</v>
      </c>
      <c r="K947" s="14" t="str">
        <f t="shared" ref="K947:K948" si="178">HYPERLINK("http://twitter.com","Twitter Web Client")</f>
        <v>Twitter Web Client</v>
      </c>
      <c r="L947" s="13">
        <v>35</v>
      </c>
      <c r="M947" s="13">
        <v>204</v>
      </c>
      <c r="N947" s="13">
        <v>0</v>
      </c>
      <c r="O947" s="15"/>
      <c r="P947" s="6">
        <v>41763.731122685189</v>
      </c>
      <c r="Q947" s="11"/>
      <c r="R947" s="17"/>
      <c r="S947" s="11"/>
      <c r="T947" s="11"/>
      <c r="U947" s="10" t="str">
        <f>HYPERLINK("https://pbs.twimg.com/profile_images/1005755141822263296/j79cr2Zr.jpg","View")</f>
        <v>View</v>
      </c>
    </row>
    <row r="948" spans="1:21" ht="20.399999999999999">
      <c r="A948" s="6">
        <v>43441.834791666668</v>
      </c>
      <c r="B948" s="7" t="str">
        <f>HYPERLINK("https://twitter.com/joalep1972","@joalep1972")</f>
        <v>@joalep1972</v>
      </c>
      <c r="C948" s="8" t="s">
        <v>5044</v>
      </c>
      <c r="D948" s="9" t="s">
        <v>5045</v>
      </c>
      <c r="E948" s="10" t="str">
        <f>HYPERLINK("https://twitter.com/joalep1972/status/1071117664670617600","1071117664670617600")</f>
        <v>1071117664670617600</v>
      </c>
      <c r="F948" s="12" t="s">
        <v>5046</v>
      </c>
      <c r="G948" s="11"/>
      <c r="H948" s="11"/>
      <c r="I948" s="13">
        <v>0</v>
      </c>
      <c r="J948" s="13">
        <v>0</v>
      </c>
      <c r="K948" s="14" t="str">
        <f t="shared" si="178"/>
        <v>Twitter Web Client</v>
      </c>
      <c r="L948" s="13">
        <v>454</v>
      </c>
      <c r="M948" s="13">
        <v>4364</v>
      </c>
      <c r="N948" s="13">
        <v>0</v>
      </c>
      <c r="O948" s="15"/>
      <c r="P948" s="6">
        <v>43235.942337962959</v>
      </c>
      <c r="Q948" s="18" t="s">
        <v>3906</v>
      </c>
      <c r="R948" s="17"/>
      <c r="S948" s="12" t="s">
        <v>5047</v>
      </c>
      <c r="T948" s="11"/>
      <c r="U948" s="10" t="str">
        <f>HYPERLINK("https://pbs.twimg.com/profile_images/996494728802775043/RNsbVmZZ.jpg","View")</f>
        <v>View</v>
      </c>
    </row>
    <row r="949" spans="1:21" ht="51">
      <c r="A949" s="6">
        <v>43441.83421296296</v>
      </c>
      <c r="B949" s="7" t="str">
        <f>HYPERLINK("https://twitter.com/SpainTheWorld","@SpainTheWorld")</f>
        <v>@SpainTheWorld</v>
      </c>
      <c r="C949" s="8" t="s">
        <v>1863</v>
      </c>
      <c r="D949" s="9" t="s">
        <v>1864</v>
      </c>
      <c r="E949" s="10" t="str">
        <f>HYPERLINK("https://twitter.com/SpainTheWorld/status/1071117455542681601","1071117455542681601")</f>
        <v>1071117455542681601</v>
      </c>
      <c r="F949" s="11"/>
      <c r="G949" s="11"/>
      <c r="H949" s="11"/>
      <c r="I949" s="13">
        <v>1</v>
      </c>
      <c r="J949" s="13">
        <v>0</v>
      </c>
      <c r="K949" s="14" t="str">
        <f t="shared" ref="K949:K950" si="179">HYPERLINK("http://twitter.com/download/iphone","Twitter for iPhone")</f>
        <v>Twitter for iPhone</v>
      </c>
      <c r="L949" s="13">
        <v>7</v>
      </c>
      <c r="M949" s="13">
        <v>20</v>
      </c>
      <c r="N949" s="13">
        <v>0</v>
      </c>
      <c r="O949" s="15"/>
      <c r="P949" s="6">
        <v>43439.411979166667</v>
      </c>
      <c r="Q949" s="18" t="s">
        <v>42</v>
      </c>
      <c r="R949" s="19" t="s">
        <v>1866</v>
      </c>
      <c r="S949" s="11"/>
      <c r="T949" s="11"/>
      <c r="U949" s="10" t="str">
        <f>HYPERLINK("https://pbs.twimg.com/profile_images/1070245144614629377/VgHE0GYg.jpg","View")</f>
        <v>View</v>
      </c>
    </row>
    <row r="950" spans="1:21" ht="71.400000000000006">
      <c r="A950" s="6">
        <v>43441.833958333329</v>
      </c>
      <c r="B950" s="7" t="str">
        <f>HYPERLINK("https://twitter.com/fabianlosada5","@fabianlosada5")</f>
        <v>@fabianlosada5</v>
      </c>
      <c r="C950" s="8" t="s">
        <v>1869</v>
      </c>
      <c r="D950" s="9" t="s">
        <v>1870</v>
      </c>
      <c r="E950" s="10" t="str">
        <f>HYPERLINK("https://twitter.com/fabianlosada5/status/1071117362328453120","1071117362328453120")</f>
        <v>1071117362328453120</v>
      </c>
      <c r="F950" s="18" t="s">
        <v>1873</v>
      </c>
      <c r="G950" s="11"/>
      <c r="H950" s="11"/>
      <c r="I950" s="13">
        <v>0</v>
      </c>
      <c r="J950" s="13">
        <v>0</v>
      </c>
      <c r="K950" s="14" t="str">
        <f t="shared" si="179"/>
        <v>Twitter for iPhone</v>
      </c>
      <c r="L950" s="13">
        <v>40</v>
      </c>
      <c r="M950" s="13">
        <v>461</v>
      </c>
      <c r="N950" s="13">
        <v>0</v>
      </c>
      <c r="O950" s="15"/>
      <c r="P950" s="6">
        <v>43240.373287037037</v>
      </c>
      <c r="Q950" s="18" t="s">
        <v>173</v>
      </c>
      <c r="R950" s="19" t="s">
        <v>1874</v>
      </c>
      <c r="S950" s="11"/>
      <c r="T950" s="11"/>
      <c r="U950" s="10" t="str">
        <f>HYPERLINK("https://pbs.twimg.com/profile_images/998097267448991744/0q5jMlsX.jpg","View")</f>
        <v>View</v>
      </c>
    </row>
    <row r="951" spans="1:21" ht="30.6">
      <c r="A951" s="6">
        <v>43441.833530092597</v>
      </c>
      <c r="B951" s="7" t="str">
        <f>HYPERLINK("https://twitter.com/jaimeabuiza","@jaimeabuiza")</f>
        <v>@jaimeabuiza</v>
      </c>
      <c r="C951" s="8" t="s">
        <v>5048</v>
      </c>
      <c r="D951" s="9" t="s">
        <v>5049</v>
      </c>
      <c r="E951" s="10" t="str">
        <f>HYPERLINK("https://twitter.com/jaimeabuiza/status/1071117207499927553","1071117207499927553")</f>
        <v>1071117207499927553</v>
      </c>
      <c r="F951" s="11"/>
      <c r="G951" s="11"/>
      <c r="H951" s="11"/>
      <c r="I951" s="13">
        <v>0</v>
      </c>
      <c r="J951" s="13">
        <v>1</v>
      </c>
      <c r="K951" s="14" t="str">
        <f t="shared" ref="K951:K953" si="180">HYPERLINK("http://twitter.com","Twitter Web Client")</f>
        <v>Twitter Web Client</v>
      </c>
      <c r="L951" s="13">
        <v>256</v>
      </c>
      <c r="M951" s="13">
        <v>63</v>
      </c>
      <c r="N951" s="13">
        <v>9</v>
      </c>
      <c r="O951" s="15"/>
      <c r="P951" s="6">
        <v>41084.618981481479</v>
      </c>
      <c r="Q951" s="18" t="s">
        <v>5050</v>
      </c>
      <c r="R951" s="19" t="s">
        <v>5051</v>
      </c>
      <c r="S951" s="12" t="s">
        <v>5052</v>
      </c>
      <c r="T951" s="11"/>
      <c r="U951" s="10" t="str">
        <f>HYPERLINK("https://pbs.twimg.com/profile_images/2336498049/cd3ip43heevskicmtw7d.jpeg","View")</f>
        <v>View</v>
      </c>
    </row>
    <row r="952" spans="1:21" ht="40.799999999999997">
      <c r="A952" s="6">
        <v>43441.833055555559</v>
      </c>
      <c r="B952" s="7" t="str">
        <f>HYPERLINK("https://twitter.com/jesusropa","@jesusropa")</f>
        <v>@jesusropa</v>
      </c>
      <c r="C952" s="8" t="s">
        <v>5053</v>
      </c>
      <c r="D952" s="9" t="s">
        <v>5054</v>
      </c>
      <c r="E952" s="10" t="str">
        <f>HYPERLINK("https://twitter.com/jesusropa/status/1071117036351299584","1071117036351299584")</f>
        <v>1071117036351299584</v>
      </c>
      <c r="F952" s="12" t="s">
        <v>5055</v>
      </c>
      <c r="G952" s="11"/>
      <c r="H952" s="11"/>
      <c r="I952" s="13">
        <v>0</v>
      </c>
      <c r="J952" s="13">
        <v>0</v>
      </c>
      <c r="K952" s="14" t="str">
        <f t="shared" si="180"/>
        <v>Twitter Web Client</v>
      </c>
      <c r="L952" s="13">
        <v>4517</v>
      </c>
      <c r="M952" s="13">
        <v>4056</v>
      </c>
      <c r="N952" s="13">
        <v>134</v>
      </c>
      <c r="O952" s="15"/>
      <c r="P952" s="6">
        <v>40299.467766203699</v>
      </c>
      <c r="Q952" s="18" t="s">
        <v>307</v>
      </c>
      <c r="R952" s="19" t="s">
        <v>5056</v>
      </c>
      <c r="S952" s="11"/>
      <c r="T952" s="11"/>
      <c r="U952" s="10" t="str">
        <f>HYPERLINK("https://pbs.twimg.com/profile_images/740971589353771008/CdTJS3Sv.jpg","View")</f>
        <v>View</v>
      </c>
    </row>
    <row r="953" spans="1:21" ht="51">
      <c r="A953" s="6">
        <v>43441.831747685181</v>
      </c>
      <c r="B953" s="7" t="str">
        <f>HYPERLINK("https://twitter.com/ALEXAURUN","@ALEXAURUN")</f>
        <v>@ALEXAURUN</v>
      </c>
      <c r="C953" s="8" t="s">
        <v>5057</v>
      </c>
      <c r="D953" s="9" t="s">
        <v>5058</v>
      </c>
      <c r="E953" s="10" t="str">
        <f>HYPERLINK("https://twitter.com/ALEXAURUN/status/1071116561711288321","1071116561711288321")</f>
        <v>1071116561711288321</v>
      </c>
      <c r="F953" s="12" t="s">
        <v>5059</v>
      </c>
      <c r="G953" s="11"/>
      <c r="H953" s="11"/>
      <c r="I953" s="13">
        <v>0</v>
      </c>
      <c r="J953" s="13">
        <v>1</v>
      </c>
      <c r="K953" s="14" t="str">
        <f t="shared" si="180"/>
        <v>Twitter Web Client</v>
      </c>
      <c r="L953" s="13">
        <v>638</v>
      </c>
      <c r="M953" s="13">
        <v>779</v>
      </c>
      <c r="N953" s="13">
        <v>17</v>
      </c>
      <c r="O953" s="15"/>
      <c r="P953" s="6">
        <v>40624.593344907407</v>
      </c>
      <c r="Q953" s="11"/>
      <c r="R953" s="19" t="s">
        <v>5060</v>
      </c>
      <c r="S953" s="11"/>
      <c r="T953" s="11"/>
      <c r="U953" s="10" t="str">
        <f>HYPERLINK("https://pbs.twimg.com/profile_images/1409411573/sega-logo_sonic-b.png","View")</f>
        <v>View</v>
      </c>
    </row>
    <row r="954" spans="1:21" ht="51">
      <c r="A954" s="6">
        <v>43441.830150462964</v>
      </c>
      <c r="B954" s="7" t="str">
        <f>HYPERLINK("https://twitter.com/Pablo_Iglesias_","@Pablo_Iglesias_")</f>
        <v>@Pablo_Iglesias_</v>
      </c>
      <c r="C954" s="8" t="s">
        <v>1532</v>
      </c>
      <c r="D954" s="9" t="s">
        <v>5061</v>
      </c>
      <c r="E954" s="10" t="str">
        <f>HYPERLINK("https://twitter.com/Pablo_Iglesias_/status/1071115982339534848","1071115982339534848")</f>
        <v>1071115982339534848</v>
      </c>
      <c r="F954" s="12" t="s">
        <v>722</v>
      </c>
      <c r="G954" s="11"/>
      <c r="H954" s="11"/>
      <c r="I954" s="13">
        <v>1077</v>
      </c>
      <c r="J954" s="13">
        <v>2204</v>
      </c>
      <c r="K954" s="14" t="str">
        <f>HYPERLINK("http://twitter.com/download/iphone","Twitter for iPhone")</f>
        <v>Twitter for iPhone</v>
      </c>
      <c r="L954" s="13">
        <v>2243645</v>
      </c>
      <c r="M954" s="13">
        <v>2745</v>
      </c>
      <c r="N954" s="13">
        <v>8492</v>
      </c>
      <c r="O954" s="16" t="s">
        <v>25</v>
      </c>
      <c r="P954" s="6">
        <v>40351.575300925928</v>
      </c>
      <c r="Q954" s="18" t="s">
        <v>307</v>
      </c>
      <c r="R954" s="19" t="s">
        <v>1538</v>
      </c>
      <c r="S954" s="12" t="s">
        <v>1539</v>
      </c>
      <c r="T954" s="11"/>
      <c r="U954" s="10" t="str">
        <f>HYPERLINK("https://pbs.twimg.com/profile_images/902223370569338884/dL2D2A5P.jpg","View")</f>
        <v>View</v>
      </c>
    </row>
    <row r="955" spans="1:21" ht="40.799999999999997">
      <c r="A955" s="6">
        <v>43441.829930555556</v>
      </c>
      <c r="B955" s="7" t="str">
        <f>HYPERLINK("https://twitter.com/LizarraDJ","@LizarraDJ")</f>
        <v>@LizarraDJ</v>
      </c>
      <c r="C955" s="8" t="s">
        <v>5062</v>
      </c>
      <c r="D955" s="9" t="s">
        <v>5063</v>
      </c>
      <c r="E955" s="10" t="str">
        <f>HYPERLINK("https://twitter.com/LizarraDJ/status/1071115904665178112","1071115904665178112")</f>
        <v>1071115904665178112</v>
      </c>
      <c r="F955" s="12" t="s">
        <v>5064</v>
      </c>
      <c r="G955" s="11"/>
      <c r="H955" s="11"/>
      <c r="I955" s="13">
        <v>0</v>
      </c>
      <c r="J955" s="13">
        <v>0</v>
      </c>
      <c r="K955" s="14" t="str">
        <f>HYPERLINK("http://www.facebook.com/twitter","Facebook")</f>
        <v>Facebook</v>
      </c>
      <c r="L955" s="13">
        <v>459</v>
      </c>
      <c r="M955" s="13">
        <v>524</v>
      </c>
      <c r="N955" s="13">
        <v>6</v>
      </c>
      <c r="O955" s="15"/>
      <c r="P955" s="6">
        <v>40178.547835648147</v>
      </c>
      <c r="Q955" s="18" t="s">
        <v>5065</v>
      </c>
      <c r="R955" s="19" t="s">
        <v>5066</v>
      </c>
      <c r="S955" s="11"/>
      <c r="T955" s="11"/>
      <c r="U955" s="10" t="str">
        <f>HYPERLINK("https://pbs.twimg.com/profile_images/642668677050036224/oKFJG1It.jpg","View")</f>
        <v>View</v>
      </c>
    </row>
    <row r="956" spans="1:21" ht="51">
      <c r="A956" s="6">
        <v>43441.82913194444</v>
      </c>
      <c r="B956" s="7" t="str">
        <f>HYPERLINK("https://twitter.com/bugallego","@bugallego")</f>
        <v>@bugallego</v>
      </c>
      <c r="C956" s="8" t="s">
        <v>5067</v>
      </c>
      <c r="D956" s="9" t="s">
        <v>5068</v>
      </c>
      <c r="E956" s="10" t="str">
        <f>HYPERLINK("https://twitter.com/bugallego/status/1071115613504983041","1071115613504983041")</f>
        <v>1071115613504983041</v>
      </c>
      <c r="F956" s="11"/>
      <c r="G956" s="11"/>
      <c r="H956" s="11"/>
      <c r="I956" s="13">
        <v>0</v>
      </c>
      <c r="J956" s="13">
        <v>0</v>
      </c>
      <c r="K956" s="14" t="str">
        <f t="shared" ref="K956:K958" si="181">HYPERLINK("http://twitter.com/download/iphone","Twitter for iPhone")</f>
        <v>Twitter for iPhone</v>
      </c>
      <c r="L956" s="13">
        <v>896</v>
      </c>
      <c r="M956" s="13">
        <v>2078</v>
      </c>
      <c r="N956" s="13">
        <v>48</v>
      </c>
      <c r="O956" s="15"/>
      <c r="P956" s="6">
        <v>41268.588877314818</v>
      </c>
      <c r="Q956" s="18" t="s">
        <v>5069</v>
      </c>
      <c r="R956" s="17"/>
      <c r="S956" s="11"/>
      <c r="T956" s="11"/>
      <c r="U956" s="10" t="str">
        <f>HYPERLINK("https://pbs.twimg.com/profile_images/649499656670564352/wMuIX5o7.jpg","View")</f>
        <v>View</v>
      </c>
    </row>
    <row r="957" spans="1:21" ht="30.6">
      <c r="A957" s="6">
        <v>43441.828229166669</v>
      </c>
      <c r="B957" s="7" t="str">
        <f>HYPERLINK("https://twitter.com/idNavarraEspana","@idNavarraEspana")</f>
        <v>@idNavarraEspana</v>
      </c>
      <c r="C957" s="8" t="s">
        <v>5070</v>
      </c>
      <c r="D957" s="9" t="s">
        <v>5071</v>
      </c>
      <c r="E957" s="10" t="str">
        <f>HYPERLINK("https://twitter.com/idNavarraEspana/status/1071115288186372096","1071115288186372096")</f>
        <v>1071115288186372096</v>
      </c>
      <c r="F957" s="12" t="s">
        <v>2803</v>
      </c>
      <c r="G957" s="11"/>
      <c r="H957" s="11"/>
      <c r="I957" s="13">
        <v>0</v>
      </c>
      <c r="J957" s="13">
        <v>0</v>
      </c>
      <c r="K957" s="14" t="str">
        <f t="shared" si="181"/>
        <v>Twitter for iPhone</v>
      </c>
      <c r="L957" s="13">
        <v>34</v>
      </c>
      <c r="M957" s="13">
        <v>27</v>
      </c>
      <c r="N957" s="13">
        <v>0</v>
      </c>
      <c r="O957" s="15"/>
      <c r="P957" s="6">
        <v>43247.939641203702</v>
      </c>
      <c r="Q957" s="18" t="s">
        <v>5072</v>
      </c>
      <c r="R957" s="19" t="s">
        <v>5073</v>
      </c>
      <c r="S957" s="11"/>
      <c r="T957" s="11"/>
      <c r="U957" s="10" t="str">
        <f>HYPERLINK("https://pbs.twimg.com/profile_images/1002177159979569153/Owh1udBg.jpg","View")</f>
        <v>View</v>
      </c>
    </row>
    <row r="958" spans="1:21" ht="30.6">
      <c r="A958" s="6">
        <v>43441.8278125</v>
      </c>
      <c r="B958" s="7" t="str">
        <f>HYPERLINK("https://twitter.com/RaulBator","@RaulBator")</f>
        <v>@RaulBator</v>
      </c>
      <c r="C958" s="8" t="s">
        <v>5074</v>
      </c>
      <c r="D958" s="9" t="s">
        <v>5075</v>
      </c>
      <c r="E958" s="10" t="str">
        <f>HYPERLINK("https://twitter.com/RaulBator/status/1071115137543757831","1071115137543757831")</f>
        <v>1071115137543757831</v>
      </c>
      <c r="F958" s="12" t="s">
        <v>2803</v>
      </c>
      <c r="G958" s="11"/>
      <c r="H958" s="11"/>
      <c r="I958" s="13">
        <v>0</v>
      </c>
      <c r="J958" s="13">
        <v>0</v>
      </c>
      <c r="K958" s="14" t="str">
        <f t="shared" si="181"/>
        <v>Twitter for iPhone</v>
      </c>
      <c r="L958" s="13">
        <v>2037</v>
      </c>
      <c r="M958" s="13">
        <v>1119</v>
      </c>
      <c r="N958" s="13">
        <v>6</v>
      </c>
      <c r="O958" s="15"/>
      <c r="P958" s="6">
        <v>42395.336134259254</v>
      </c>
      <c r="Q958" s="18" t="s">
        <v>5076</v>
      </c>
      <c r="R958" s="19" t="s">
        <v>5077</v>
      </c>
      <c r="S958" s="11"/>
      <c r="T958" s="11"/>
      <c r="U958" s="10" t="str">
        <f>HYPERLINK("https://pbs.twimg.com/profile_images/698176238159060992/IzjAQ4LA.jpg","View")</f>
        <v>View</v>
      </c>
    </row>
    <row r="959" spans="1:21" ht="71.400000000000006">
      <c r="A959" s="6">
        <v>43441.827743055561</v>
      </c>
      <c r="B959" s="7" t="str">
        <f>HYPERLINK("https://twitter.com/Durian61109504","@Durian61109504")</f>
        <v>@Durian61109504</v>
      </c>
      <c r="C959" s="8" t="s">
        <v>4580</v>
      </c>
      <c r="D959" s="9" t="s">
        <v>5078</v>
      </c>
      <c r="E959" s="10" t="str">
        <f>HYPERLINK("https://twitter.com/Durian61109504/status/1071115113049010176","1071115113049010176")</f>
        <v>1071115113049010176</v>
      </c>
      <c r="F959" s="12" t="s">
        <v>5079</v>
      </c>
      <c r="G959" s="12" t="s">
        <v>5080</v>
      </c>
      <c r="H959" s="11"/>
      <c r="I959" s="13">
        <v>0</v>
      </c>
      <c r="J959" s="13">
        <v>0</v>
      </c>
      <c r="K959" s="14" t="str">
        <f t="shared" ref="K959:K961" si="182">HYPERLINK("http://twitter.com/download/android","Twitter for Android")</f>
        <v>Twitter for Android</v>
      </c>
      <c r="L959" s="13">
        <v>166</v>
      </c>
      <c r="M959" s="13">
        <v>206</v>
      </c>
      <c r="N959" s="13">
        <v>1</v>
      </c>
      <c r="O959" s="15"/>
      <c r="P959" s="6">
        <v>43158.757303240738</v>
      </c>
      <c r="Q959" s="11"/>
      <c r="R959" s="19" t="s">
        <v>4584</v>
      </c>
      <c r="S959" s="11"/>
      <c r="T959" s="11"/>
      <c r="U959" s="10" t="str">
        <f>HYPERLINK("https://pbs.twimg.com/profile_images/968555387313037313/MCCv6P6F.jpg","View")</f>
        <v>View</v>
      </c>
    </row>
    <row r="960" spans="1:21" ht="40.799999999999997">
      <c r="A960" s="6">
        <v>43441.826550925922</v>
      </c>
      <c r="B960" s="7" t="str">
        <f>HYPERLINK("https://twitter.com/amaynar","@amaynar")</f>
        <v>@amaynar</v>
      </c>
      <c r="C960" s="8" t="s">
        <v>1914</v>
      </c>
      <c r="D960" s="9" t="s">
        <v>5081</v>
      </c>
      <c r="E960" s="10" t="str">
        <f>HYPERLINK("https://twitter.com/amaynar/status/1071114678334570496","1071114678334570496")</f>
        <v>1071114678334570496</v>
      </c>
      <c r="F960" s="12" t="s">
        <v>2803</v>
      </c>
      <c r="G960" s="11"/>
      <c r="H960" s="11"/>
      <c r="I960" s="13">
        <v>0</v>
      </c>
      <c r="J960" s="13">
        <v>0</v>
      </c>
      <c r="K960" s="14" t="str">
        <f t="shared" si="182"/>
        <v>Twitter for Android</v>
      </c>
      <c r="L960" s="13">
        <v>335</v>
      </c>
      <c r="M960" s="13">
        <v>306</v>
      </c>
      <c r="N960" s="13">
        <v>4</v>
      </c>
      <c r="O960" s="15"/>
      <c r="P960" s="6">
        <v>40223.428587962961</v>
      </c>
      <c r="Q960" s="11"/>
      <c r="R960" s="17"/>
      <c r="S960" s="11"/>
      <c r="T960" s="11"/>
      <c r="U960" s="10" t="str">
        <f>HYPERLINK("https://pbs.twimg.com/profile_images/1053735601139257349/H8jFJp08.jpg","View")</f>
        <v>View</v>
      </c>
    </row>
    <row r="961" spans="1:21" ht="30.6">
      <c r="A961" s="6">
        <v>43441.82612268519</v>
      </c>
      <c r="B961" s="7" t="str">
        <f>HYPERLINK("https://twitter.com/Durian61109504","@Durian61109504")</f>
        <v>@Durian61109504</v>
      </c>
      <c r="C961" s="8" t="s">
        <v>4580</v>
      </c>
      <c r="D961" s="9" t="s">
        <v>5082</v>
      </c>
      <c r="E961" s="10" t="str">
        <f>HYPERLINK("https://twitter.com/Durian61109504/status/1071114524638482433","1071114524638482433")</f>
        <v>1071114524638482433</v>
      </c>
      <c r="F961" s="18" t="s">
        <v>3095</v>
      </c>
      <c r="G961" s="11"/>
      <c r="H961" s="11"/>
      <c r="I961" s="13">
        <v>0</v>
      </c>
      <c r="J961" s="13">
        <v>1</v>
      </c>
      <c r="K961" s="14" t="str">
        <f t="shared" si="182"/>
        <v>Twitter for Android</v>
      </c>
      <c r="L961" s="13">
        <v>166</v>
      </c>
      <c r="M961" s="13">
        <v>206</v>
      </c>
      <c r="N961" s="13">
        <v>1</v>
      </c>
      <c r="O961" s="15"/>
      <c r="P961" s="6">
        <v>43158.757303240738</v>
      </c>
      <c r="Q961" s="11"/>
      <c r="R961" s="19" t="s">
        <v>4584</v>
      </c>
      <c r="S961" s="11"/>
      <c r="T961" s="11"/>
      <c r="U961" s="10" t="str">
        <f>HYPERLINK("https://pbs.twimg.com/profile_images/968555387313037313/MCCv6P6F.jpg","View")</f>
        <v>View</v>
      </c>
    </row>
    <row r="962" spans="1:21" ht="51">
      <c r="A962" s="6">
        <v>43441.826064814813</v>
      </c>
      <c r="B962" s="7" t="str">
        <f>HYPERLINK("https://twitter.com/Autonomo_Soy","@Autonomo_Soy")</f>
        <v>@Autonomo_Soy</v>
      </c>
      <c r="C962" s="8" t="s">
        <v>5083</v>
      </c>
      <c r="D962" s="9" t="s">
        <v>5084</v>
      </c>
      <c r="E962" s="10" t="str">
        <f>HYPERLINK("https://twitter.com/Autonomo_Soy/status/1071114504233254912","1071114504233254912")</f>
        <v>1071114504233254912</v>
      </c>
      <c r="F962" s="12" t="s">
        <v>2803</v>
      </c>
      <c r="G962" s="11"/>
      <c r="H962" s="11"/>
      <c r="I962" s="13">
        <v>0</v>
      </c>
      <c r="J962" s="13">
        <v>0</v>
      </c>
      <c r="K962" s="14" t="str">
        <f>HYPERLINK("http://twitter.com","Twitter Web Client")</f>
        <v>Twitter Web Client</v>
      </c>
      <c r="L962" s="13">
        <v>1506</v>
      </c>
      <c r="M962" s="13">
        <v>1849</v>
      </c>
      <c r="N962" s="13">
        <v>6</v>
      </c>
      <c r="O962" s="15"/>
      <c r="P962" s="6">
        <v>41206.620185185187</v>
      </c>
      <c r="Q962" s="18" t="s">
        <v>5085</v>
      </c>
      <c r="R962" s="19" t="s">
        <v>5086</v>
      </c>
      <c r="S962" s="11"/>
      <c r="T962" s="11"/>
      <c r="U962" s="10" t="str">
        <f>HYPERLINK("https://pbs.twimg.com/profile_images/1069705760458846208/S3x_ItvI.jpg","View")</f>
        <v>View</v>
      </c>
    </row>
    <row r="963" spans="1:21" ht="40.799999999999997">
      <c r="A963" s="6">
        <v>43441.826064814813</v>
      </c>
      <c r="B963" s="7" t="str">
        <f>HYPERLINK("https://twitter.com/tobagomez","@tobagomez")</f>
        <v>@tobagomez</v>
      </c>
      <c r="C963" s="8" t="s">
        <v>5087</v>
      </c>
      <c r="D963" s="9" t="s">
        <v>5088</v>
      </c>
      <c r="E963" s="10" t="str">
        <f>HYPERLINK("https://twitter.com/tobagomez/status/1071114500940726272","1071114500940726272")</f>
        <v>1071114500940726272</v>
      </c>
      <c r="F963" s="11"/>
      <c r="G963" s="11"/>
      <c r="H963" s="11"/>
      <c r="I963" s="13">
        <v>2</v>
      </c>
      <c r="J963" s="13">
        <v>0</v>
      </c>
      <c r="K963" s="14" t="str">
        <f t="shared" ref="K963:K964" si="183">HYPERLINK("http://twitter.com/download/android","Twitter for Android")</f>
        <v>Twitter for Android</v>
      </c>
      <c r="L963" s="13">
        <v>85</v>
      </c>
      <c r="M963" s="13">
        <v>115</v>
      </c>
      <c r="N963" s="13">
        <v>0</v>
      </c>
      <c r="O963" s="15"/>
      <c r="P963" s="6">
        <v>41309.897453703699</v>
      </c>
      <c r="Q963" s="18" t="s">
        <v>3743</v>
      </c>
      <c r="R963" s="19" t="s">
        <v>5089</v>
      </c>
      <c r="S963" s="11"/>
      <c r="T963" s="11"/>
      <c r="U963" s="10" t="str">
        <f>HYPERLINK("https://pbs.twimg.com/profile_images/926515489383374849/Ml6CeRXl.jpg","View")</f>
        <v>View</v>
      </c>
    </row>
    <row r="964" spans="1:21" ht="81.599999999999994">
      <c r="A964" s="6">
        <v>43441.824189814812</v>
      </c>
      <c r="B964" s="7" t="str">
        <f>HYPERLINK("https://twitter.com/estherpico77","@estherpico77")</f>
        <v>@estherpico77</v>
      </c>
      <c r="C964" s="8" t="s">
        <v>1875</v>
      </c>
      <c r="D964" s="9" t="s">
        <v>1876</v>
      </c>
      <c r="E964" s="10" t="str">
        <f>HYPERLINK("https://twitter.com/estherpico77/status/1071113825187975168","1071113825187975168")</f>
        <v>1071113825187975168</v>
      </c>
      <c r="F964" s="18" t="s">
        <v>1877</v>
      </c>
      <c r="G964" s="11"/>
      <c r="H964" s="11"/>
      <c r="I964" s="13">
        <v>1</v>
      </c>
      <c r="J964" s="13">
        <v>1</v>
      </c>
      <c r="K964" s="14" t="str">
        <f t="shared" si="183"/>
        <v>Twitter for Android</v>
      </c>
      <c r="L964" s="13">
        <v>779</v>
      </c>
      <c r="M964" s="13">
        <v>742</v>
      </c>
      <c r="N964" s="13">
        <v>8</v>
      </c>
      <c r="O964" s="15"/>
      <c r="P964" s="6">
        <v>41082.514305555553</v>
      </c>
      <c r="Q964" s="18" t="s">
        <v>1878</v>
      </c>
      <c r="R964" s="19" t="s">
        <v>1879</v>
      </c>
      <c r="S964" s="11"/>
      <c r="T964" s="11"/>
      <c r="U964" s="10" t="str">
        <f>HYPERLINK("https://pbs.twimg.com/profile_images/1010076276894388224/QStMvCA6.jpg","View")</f>
        <v>View</v>
      </c>
    </row>
    <row r="965" spans="1:21" ht="20.399999999999999">
      <c r="A965" s="6">
        <v>43441.823946759258</v>
      </c>
      <c r="B965" s="7" t="str">
        <f>HYPERLINK("https://twitter.com/joalep1972","@joalep1972")</f>
        <v>@joalep1972</v>
      </c>
      <c r="C965" s="8" t="s">
        <v>5044</v>
      </c>
      <c r="D965" s="9" t="s">
        <v>5090</v>
      </c>
      <c r="E965" s="10" t="str">
        <f>HYPERLINK("https://twitter.com/joalep1972/status/1071113735165669376","1071113735165669376")</f>
        <v>1071113735165669376</v>
      </c>
      <c r="F965" s="12" t="s">
        <v>5091</v>
      </c>
      <c r="G965" s="11"/>
      <c r="H965" s="11"/>
      <c r="I965" s="13">
        <v>0</v>
      </c>
      <c r="J965" s="13">
        <v>0</v>
      </c>
      <c r="K965" s="14" t="str">
        <f>HYPERLINK("http://twitter.com","Twitter Web Client")</f>
        <v>Twitter Web Client</v>
      </c>
      <c r="L965" s="13">
        <v>454</v>
      </c>
      <c r="M965" s="13">
        <v>4364</v>
      </c>
      <c r="N965" s="13">
        <v>0</v>
      </c>
      <c r="O965" s="15"/>
      <c r="P965" s="6">
        <v>43235.942337962959</v>
      </c>
      <c r="Q965" s="18" t="s">
        <v>3906</v>
      </c>
      <c r="R965" s="17"/>
      <c r="S965" s="12" t="s">
        <v>5047</v>
      </c>
      <c r="T965" s="11"/>
      <c r="U965" s="10" t="str">
        <f>HYPERLINK("https://pbs.twimg.com/profile_images/996494728802775043/RNsbVmZZ.jpg","View")</f>
        <v>View</v>
      </c>
    </row>
    <row r="966" spans="1:21" ht="30.6">
      <c r="A966" s="6">
        <v>43441.823611111111</v>
      </c>
      <c r="B966" s="7" t="str">
        <f>HYPERLINK("https://twitter.com/ElHuffPost","@ElHuffPost")</f>
        <v>@ElHuffPost</v>
      </c>
      <c r="C966" s="8" t="s">
        <v>517</v>
      </c>
      <c r="D966" s="9" t="s">
        <v>5092</v>
      </c>
      <c r="E966" s="10" t="str">
        <f>HYPERLINK("https://twitter.com/ElHuffPost/status/1071113613337915392","1071113613337915392")</f>
        <v>1071113613337915392</v>
      </c>
      <c r="F966" s="12" t="s">
        <v>4808</v>
      </c>
      <c r="G966" s="11"/>
      <c r="H966" s="11"/>
      <c r="I966" s="13">
        <v>2</v>
      </c>
      <c r="J966" s="13">
        <v>2</v>
      </c>
      <c r="K966" s="14" t="str">
        <f>HYPERLINK("https://about.twitter.com/products/tweetdeck","TweetDeck")</f>
        <v>TweetDeck</v>
      </c>
      <c r="L966" s="13">
        <v>431181</v>
      </c>
      <c r="M966" s="13">
        <v>1551</v>
      </c>
      <c r="N966" s="13">
        <v>8205</v>
      </c>
      <c r="O966" s="16" t="s">
        <v>25</v>
      </c>
      <c r="P966" s="6">
        <v>40785.027118055557</v>
      </c>
      <c r="Q966" s="18" t="s">
        <v>100</v>
      </c>
      <c r="R966" s="19" t="s">
        <v>523</v>
      </c>
      <c r="S966" s="12" t="s">
        <v>524</v>
      </c>
      <c r="T966" s="11"/>
      <c r="U966" s="10" t="str">
        <f>HYPERLINK("https://pbs.twimg.com/profile_images/921140803422089217/ETOEUOAx.jpg","View")</f>
        <v>View</v>
      </c>
    </row>
    <row r="967" spans="1:21" ht="30.6">
      <c r="A967" s="6">
        <v>43441.820856481485</v>
      </c>
      <c r="B967" s="7" t="str">
        <f>HYPERLINK("https://twitter.com/BOOMERANGG1","@BOOMERANGG1")</f>
        <v>@BOOMERANGG1</v>
      </c>
      <c r="C967" s="8" t="s">
        <v>3206</v>
      </c>
      <c r="D967" s="9" t="s">
        <v>5093</v>
      </c>
      <c r="E967" s="10" t="str">
        <f>HYPERLINK("https://twitter.com/BOOMERANGG1/status/1071112616397955072","1071112616397955072")</f>
        <v>1071112616397955072</v>
      </c>
      <c r="F967" s="11"/>
      <c r="G967" s="11"/>
      <c r="H967" s="11"/>
      <c r="I967" s="13">
        <v>1</v>
      </c>
      <c r="J967" s="13">
        <v>2</v>
      </c>
      <c r="K967" s="14" t="str">
        <f t="shared" ref="K967:K968" si="184">HYPERLINK("http://twitter.com/download/android","Twitter for Android")</f>
        <v>Twitter for Android</v>
      </c>
      <c r="L967" s="13">
        <v>1724</v>
      </c>
      <c r="M967" s="13">
        <v>3578</v>
      </c>
      <c r="N967" s="13">
        <v>4</v>
      </c>
      <c r="O967" s="15"/>
      <c r="P967" s="6">
        <v>40966.004363425927</v>
      </c>
      <c r="Q967" s="18" t="s">
        <v>42</v>
      </c>
      <c r="R967" s="19" t="s">
        <v>3209</v>
      </c>
      <c r="S967" s="11"/>
      <c r="T967" s="11"/>
      <c r="U967" s="10" t="str">
        <f>HYPERLINK("https://pbs.twimg.com/profile_images/1856358263/BOOMERANGG1.JPG","View")</f>
        <v>View</v>
      </c>
    </row>
    <row r="968" spans="1:21" ht="71.400000000000006">
      <c r="A968" s="6">
        <v>43441.820439814815</v>
      </c>
      <c r="B968" s="7" t="str">
        <f>HYPERLINK("https://twitter.com/Michelturu","@Michelturu")</f>
        <v>@Michelturu</v>
      </c>
      <c r="C968" s="8" t="s">
        <v>1881</v>
      </c>
      <c r="D968" s="9" t="s">
        <v>1882</v>
      </c>
      <c r="E968" s="10" t="str">
        <f>HYPERLINK("https://twitter.com/Michelturu/status/1071112462475427841","1071112462475427841")</f>
        <v>1071112462475427841</v>
      </c>
      <c r="F968" s="12" t="s">
        <v>1883</v>
      </c>
      <c r="G968" s="11"/>
      <c r="H968" s="11"/>
      <c r="I968" s="13">
        <v>0</v>
      </c>
      <c r="J968" s="13">
        <v>0</v>
      </c>
      <c r="K968" s="14" t="str">
        <f t="shared" si="184"/>
        <v>Twitter for Android</v>
      </c>
      <c r="L968" s="13">
        <v>81</v>
      </c>
      <c r="M968" s="13">
        <v>131</v>
      </c>
      <c r="N968" s="13">
        <v>1</v>
      </c>
      <c r="O968" s="15"/>
      <c r="P968" s="6">
        <v>41014.412511574075</v>
      </c>
      <c r="Q968" s="11"/>
      <c r="R968" s="17"/>
      <c r="S968" s="11"/>
      <c r="T968" s="11"/>
      <c r="U968" s="10" t="str">
        <f>HYPERLINK("https://pbs.twimg.com/profile_images/2251864380/F9R602yq","View")</f>
        <v>View</v>
      </c>
    </row>
    <row r="969" spans="1:21" ht="40.799999999999997">
      <c r="A969" s="6">
        <v>43441.820289351846</v>
      </c>
      <c r="B969" s="7" t="str">
        <f>HYPERLINK("https://twitter.com/DFConesa","@DFConesa")</f>
        <v>@DFConesa</v>
      </c>
      <c r="C969" s="8" t="s">
        <v>5094</v>
      </c>
      <c r="D969" s="9" t="s">
        <v>5095</v>
      </c>
      <c r="E969" s="10" t="str">
        <f>HYPERLINK("https://twitter.com/DFConesa/status/1071112411959169024","1071112411959169024")</f>
        <v>1071112411959169024</v>
      </c>
      <c r="F969" s="12" t="s">
        <v>5096</v>
      </c>
      <c r="G969" s="12" t="s">
        <v>2585</v>
      </c>
      <c r="H969" s="11"/>
      <c r="I969" s="13">
        <v>0</v>
      </c>
      <c r="J969" s="13">
        <v>0</v>
      </c>
      <c r="K969" s="14" t="str">
        <f>HYPERLINK("http://twitter.com/download/iphone","Twitter for iPhone")</f>
        <v>Twitter for iPhone</v>
      </c>
      <c r="L969" s="13">
        <v>56</v>
      </c>
      <c r="M969" s="13">
        <v>101</v>
      </c>
      <c r="N969" s="13">
        <v>1</v>
      </c>
      <c r="O969" s="15"/>
      <c r="P969" s="6">
        <v>43274.888645833329</v>
      </c>
      <c r="Q969" s="18" t="s">
        <v>5097</v>
      </c>
      <c r="R969" s="19" t="s">
        <v>5098</v>
      </c>
      <c r="S969" s="11"/>
      <c r="T969" s="11"/>
      <c r="U969" s="10" t="str">
        <f>HYPERLINK("https://pbs.twimg.com/profile_images/1010651508864704512/R2mjJt8T.jpg","View")</f>
        <v>View</v>
      </c>
    </row>
    <row r="970" spans="1:21" ht="51">
      <c r="A970" s="6">
        <v>43441.819965277777</v>
      </c>
      <c r="B970" s="7" t="str">
        <f>HYPERLINK("https://twitter.com/GuajeSalvaje","@GuajeSalvaje")</f>
        <v>@GuajeSalvaje</v>
      </c>
      <c r="C970" s="8" t="s">
        <v>5100</v>
      </c>
      <c r="D970" s="9" t="s">
        <v>5101</v>
      </c>
      <c r="E970" s="10" t="str">
        <f>HYPERLINK("https://twitter.com/GuajeSalvaje/status/1071112292144726016","1071112292144726016")</f>
        <v>1071112292144726016</v>
      </c>
      <c r="F970" s="11"/>
      <c r="G970" s="12" t="s">
        <v>5102</v>
      </c>
      <c r="H970" s="11"/>
      <c r="I970" s="13">
        <v>84</v>
      </c>
      <c r="J970" s="13">
        <v>201</v>
      </c>
      <c r="K970" s="14" t="str">
        <f>HYPERLINK("http://twitter.com","Twitter Web Client")</f>
        <v>Twitter Web Client</v>
      </c>
      <c r="L970" s="13">
        <v>25791</v>
      </c>
      <c r="M970" s="13">
        <v>6101</v>
      </c>
      <c r="N970" s="13">
        <v>117</v>
      </c>
      <c r="O970" s="15"/>
      <c r="P970" s="6">
        <v>43020.705578703702</v>
      </c>
      <c r="Q970" s="18" t="s">
        <v>885</v>
      </c>
      <c r="R970" s="19" t="s">
        <v>5105</v>
      </c>
      <c r="S970" s="11"/>
      <c r="T970" s="11"/>
      <c r="U970" s="10" t="str">
        <f>HYPERLINK("https://pbs.twimg.com/profile_images/918501506097311755/uqEJjgtg.jpg","View")</f>
        <v>View</v>
      </c>
    </row>
    <row r="971" spans="1:21" ht="102">
      <c r="A971" s="6">
        <v>43441.818819444445</v>
      </c>
      <c r="B971" s="7" t="str">
        <f>HYPERLINK("https://twitter.com/rodrigo_saiz_ga","@rodrigo_saiz_ga")</f>
        <v>@rodrigo_saiz_ga</v>
      </c>
      <c r="C971" s="8" t="s">
        <v>1884</v>
      </c>
      <c r="D971" s="9" t="s">
        <v>1885</v>
      </c>
      <c r="E971" s="10" t="str">
        <f>HYPERLINK("https://twitter.com/rodrigo_saiz_ga/status/1071111876451450882","1071111876451450882")</f>
        <v>1071111876451450882</v>
      </c>
      <c r="F971" s="18" t="s">
        <v>1456</v>
      </c>
      <c r="G971" s="11"/>
      <c r="H971" s="11"/>
      <c r="I971" s="13">
        <v>0</v>
      </c>
      <c r="J971" s="13">
        <v>0</v>
      </c>
      <c r="K971" s="14" t="str">
        <f>HYPERLINK("http://twitter.com/#!/download/ipad","Twitter for iPad")</f>
        <v>Twitter for iPad</v>
      </c>
      <c r="L971" s="13">
        <v>337</v>
      </c>
      <c r="M971" s="13">
        <v>1673</v>
      </c>
      <c r="N971" s="13">
        <v>16</v>
      </c>
      <c r="O971" s="15"/>
      <c r="P971" s="6">
        <v>41341.415717592594</v>
      </c>
      <c r="Q971" s="11"/>
      <c r="R971" s="19" t="s">
        <v>1887</v>
      </c>
      <c r="S971" s="11"/>
      <c r="T971" s="11"/>
      <c r="U971" s="10" t="str">
        <f>HYPERLINK("https://pbs.twimg.com/profile_images/1047933610429505537/Ex7octRI.jpg","View")</f>
        <v>View</v>
      </c>
    </row>
    <row r="972" spans="1:21" ht="51">
      <c r="A972" s="6">
        <v>43441.818807870368</v>
      </c>
      <c r="B972" s="7" t="str">
        <f>HYPERLINK("https://twitter.com/SoyTuAzote","@SoyTuAzote")</f>
        <v>@SoyTuAzote</v>
      </c>
      <c r="C972" s="8" t="s">
        <v>1888</v>
      </c>
      <c r="D972" s="9" t="s">
        <v>1889</v>
      </c>
      <c r="E972" s="10" t="str">
        <f>HYPERLINK("https://twitter.com/SoyTuAzote/status/1071111872907235328","1071111872907235328")</f>
        <v>1071111872907235328</v>
      </c>
      <c r="F972" s="12" t="s">
        <v>1890</v>
      </c>
      <c r="G972" s="12" t="s">
        <v>1891</v>
      </c>
      <c r="H972" s="11"/>
      <c r="I972" s="13">
        <v>0</v>
      </c>
      <c r="J972" s="13">
        <v>2</v>
      </c>
      <c r="K972" s="14" t="str">
        <f>HYPERLINK("http://twitter.com/download/iphone","Twitter for iPhone")</f>
        <v>Twitter for iPhone</v>
      </c>
      <c r="L972" s="13">
        <v>197</v>
      </c>
      <c r="M972" s="13">
        <v>407</v>
      </c>
      <c r="N972" s="13">
        <v>7</v>
      </c>
      <c r="O972" s="15"/>
      <c r="P972" s="6">
        <v>42352.43613425926</v>
      </c>
      <c r="Q972" s="18" t="s">
        <v>1892</v>
      </c>
      <c r="R972" s="19" t="s">
        <v>1893</v>
      </c>
      <c r="S972" s="11"/>
      <c r="T972" s="11"/>
      <c r="U972" s="10" t="str">
        <f>HYPERLINK("https://pbs.twimg.com/profile_images/676333853850656768/mqwp5UvF.jpg","View")</f>
        <v>View</v>
      </c>
    </row>
    <row r="973" spans="1:21" ht="30.6">
      <c r="A973" s="6">
        <v>43441.818206018521</v>
      </c>
      <c r="B973" s="7" t="str">
        <f>HYPERLINK("https://twitter.com/LLASOLI","@LLASOLI")</f>
        <v>@LLASOLI</v>
      </c>
      <c r="C973" s="8" t="s">
        <v>5106</v>
      </c>
      <c r="D973" s="9" t="s">
        <v>2826</v>
      </c>
      <c r="E973" s="10" t="str">
        <f>HYPERLINK("https://twitter.com/LLASOLI/status/1071111656950910982","1071111656950910982")</f>
        <v>1071111656950910982</v>
      </c>
      <c r="F973" s="12" t="s">
        <v>5107</v>
      </c>
      <c r="G973" s="11"/>
      <c r="H973" s="11"/>
      <c r="I973" s="13">
        <v>0</v>
      </c>
      <c r="J973" s="13">
        <v>0</v>
      </c>
      <c r="K973" s="14" t="str">
        <f>HYPERLINK("http://twitter.com/download/android","Twitter for Android")</f>
        <v>Twitter for Android</v>
      </c>
      <c r="L973" s="13">
        <v>847</v>
      </c>
      <c r="M973" s="13">
        <v>1727</v>
      </c>
      <c r="N973" s="13">
        <v>9</v>
      </c>
      <c r="O973" s="15"/>
      <c r="P973" s="6">
        <v>41687.954201388886</v>
      </c>
      <c r="Q973" s="11"/>
      <c r="R973" s="19" t="s">
        <v>5108</v>
      </c>
      <c r="S973" s="11"/>
      <c r="T973" s="11"/>
      <c r="U973" s="10" t="str">
        <f>HYPERLINK("https://pbs.twimg.com/profile_images/435533615490146305/2u6HT_0s.jpeg","View")</f>
        <v>View</v>
      </c>
    </row>
    <row r="974" spans="1:21" ht="40.799999999999997">
      <c r="A974" s="6">
        <v>43441.818113425921</v>
      </c>
      <c r="B974" s="7" t="str">
        <f>HYPERLINK("https://twitter.com/jrivhe","@jrivhe")</f>
        <v>@jrivhe</v>
      </c>
      <c r="C974" s="8" t="s">
        <v>1896</v>
      </c>
      <c r="D974" s="9" t="s">
        <v>1897</v>
      </c>
      <c r="E974" s="10" t="str">
        <f>HYPERLINK("https://twitter.com/jrivhe/status/1071111622662459394","1071111622662459394")</f>
        <v>1071111622662459394</v>
      </c>
      <c r="F974" s="12" t="s">
        <v>732</v>
      </c>
      <c r="G974" s="11"/>
      <c r="H974" s="11"/>
      <c r="I974" s="13">
        <v>0</v>
      </c>
      <c r="J974" s="13">
        <v>0</v>
      </c>
      <c r="K974" s="14" t="str">
        <f>HYPERLINK("http://twitter.com/download/iphone","Twitter for iPhone")</f>
        <v>Twitter for iPhone</v>
      </c>
      <c r="L974" s="13">
        <v>907</v>
      </c>
      <c r="M974" s="13">
        <v>681</v>
      </c>
      <c r="N974" s="13">
        <v>21</v>
      </c>
      <c r="O974" s="15"/>
      <c r="P974" s="6">
        <v>40477.588240740741</v>
      </c>
      <c r="Q974" s="18" t="s">
        <v>42</v>
      </c>
      <c r="R974" s="19" t="s">
        <v>1899</v>
      </c>
      <c r="S974" s="11"/>
      <c r="T974" s="11"/>
      <c r="U974" s="10" t="str">
        <f>HYPERLINK("https://pbs.twimg.com/profile_images/914401268566814720/1vXOOc8y.jpg","View")</f>
        <v>View</v>
      </c>
    </row>
    <row r="975" spans="1:21" ht="40.799999999999997">
      <c r="A975" s="6">
        <v>43441.817326388889</v>
      </c>
      <c r="B975" s="7" t="str">
        <f>HYPERLINK("https://twitter.com/lvaroMaldonado","@lvaroMaldonado")</f>
        <v>@lvaroMaldonado</v>
      </c>
      <c r="C975" s="8" t="s">
        <v>1902</v>
      </c>
      <c r="D975" s="9" t="s">
        <v>1903</v>
      </c>
      <c r="E975" s="10" t="str">
        <f>HYPERLINK("https://twitter.com/lvaroMaldonado/status/1071111335478480896","1071111335478480896")</f>
        <v>1071111335478480896</v>
      </c>
      <c r="F975" s="11"/>
      <c r="G975" s="11"/>
      <c r="H975" s="11"/>
      <c r="I975" s="13">
        <v>2</v>
      </c>
      <c r="J975" s="13">
        <v>2</v>
      </c>
      <c r="K975" s="14" t="str">
        <f t="shared" ref="K975:K976" si="185">HYPERLINK("http://twitter.com/download/android","Twitter for Android")</f>
        <v>Twitter for Android</v>
      </c>
      <c r="L975" s="13">
        <v>1584</v>
      </c>
      <c r="M975" s="13">
        <v>1434</v>
      </c>
      <c r="N975" s="13">
        <v>30</v>
      </c>
      <c r="O975" s="15"/>
      <c r="P975" s="6">
        <v>40940.92328703704</v>
      </c>
      <c r="Q975" s="18" t="s">
        <v>1430</v>
      </c>
      <c r="R975" s="19" t="s">
        <v>1904</v>
      </c>
      <c r="S975" s="11"/>
      <c r="T975" s="11"/>
      <c r="U975" s="10" t="str">
        <f>HYPERLINK("https://pbs.twimg.com/profile_images/1865351922/foto_twitter.jpg","View")</f>
        <v>View</v>
      </c>
    </row>
    <row r="976" spans="1:21" ht="30.6">
      <c r="A976" s="6">
        <v>43441.816921296297</v>
      </c>
      <c r="B976" s="7" t="str">
        <f>HYPERLINK("https://twitter.com/EliasGrima","@EliasGrima")</f>
        <v>@EliasGrima</v>
      </c>
      <c r="C976" s="8" t="s">
        <v>1641</v>
      </c>
      <c r="D976" s="9" t="s">
        <v>1905</v>
      </c>
      <c r="E976" s="10" t="str">
        <f>HYPERLINK("https://twitter.com/EliasGrima/status/1071111189336334336","1071111189336334336")</f>
        <v>1071111189336334336</v>
      </c>
      <c r="F976" s="11"/>
      <c r="G976" s="11"/>
      <c r="H976" s="11"/>
      <c r="I976" s="13">
        <v>3</v>
      </c>
      <c r="J976" s="13">
        <v>3</v>
      </c>
      <c r="K976" s="14" t="str">
        <f t="shared" si="185"/>
        <v>Twitter for Android</v>
      </c>
      <c r="L976" s="13">
        <v>852</v>
      </c>
      <c r="M976" s="13">
        <v>203</v>
      </c>
      <c r="N976" s="13">
        <v>5</v>
      </c>
      <c r="O976" s="15"/>
      <c r="P976" s="6">
        <v>41177.006493055553</v>
      </c>
      <c r="Q976" s="18" t="s">
        <v>1642</v>
      </c>
      <c r="R976" s="19" t="s">
        <v>1643</v>
      </c>
      <c r="S976" s="12" t="s">
        <v>1644</v>
      </c>
      <c r="T976" s="11"/>
      <c r="U976" s="10" t="str">
        <f>HYPERLINK("https://pbs.twimg.com/profile_images/713277716414521344/8RNPQRQp.jpg","View")</f>
        <v>View</v>
      </c>
    </row>
    <row r="977" spans="1:21" ht="51">
      <c r="A977" s="6">
        <v>43441.815405092595</v>
      </c>
      <c r="B977" s="7" t="str">
        <f>HYPERLINK("https://twitter.com/Veromaggi","@Veromaggi")</f>
        <v>@Veromaggi</v>
      </c>
      <c r="C977" s="8" t="s">
        <v>5110</v>
      </c>
      <c r="D977" s="9" t="s">
        <v>5111</v>
      </c>
      <c r="E977" s="10" t="str">
        <f>HYPERLINK("https://twitter.com/Veromaggi/status/1071110638859116544","1071110638859116544")</f>
        <v>1071110638859116544</v>
      </c>
      <c r="F977" s="12" t="s">
        <v>5112</v>
      </c>
      <c r="G977" s="12" t="s">
        <v>2483</v>
      </c>
      <c r="H977" s="11"/>
      <c r="I977" s="13">
        <v>4</v>
      </c>
      <c r="J977" s="13">
        <v>3</v>
      </c>
      <c r="K977" s="14" t="str">
        <f t="shared" ref="K977:K978" si="186">HYPERLINK("http://twitter.com","Twitter Web Client")</f>
        <v>Twitter Web Client</v>
      </c>
      <c r="L977" s="13">
        <v>2056</v>
      </c>
      <c r="M977" s="13">
        <v>2578</v>
      </c>
      <c r="N977" s="13">
        <v>108</v>
      </c>
      <c r="O977" s="15"/>
      <c r="P977" s="6">
        <v>40616.45590277778</v>
      </c>
      <c r="Q977" s="18" t="s">
        <v>173</v>
      </c>
      <c r="R977" s="19" t="s">
        <v>5113</v>
      </c>
      <c r="S977" s="11"/>
      <c r="T977" s="11"/>
      <c r="U977" s="10" t="str">
        <f>HYPERLINK("https://pbs.twimg.com/profile_images/661142280036876288/x8ty3jnD.jpg","View")</f>
        <v>View</v>
      </c>
    </row>
    <row r="978" spans="1:21" ht="91.8">
      <c r="A978" s="6">
        <v>43441.815312499995</v>
      </c>
      <c r="B978" s="7" t="str">
        <f>HYPERLINK("https://twitter.com/LuisVicenteTor8","@LuisVicenteTor8")</f>
        <v>@LuisVicenteTor8</v>
      </c>
      <c r="C978" s="8" t="s">
        <v>1906</v>
      </c>
      <c r="D978" s="9" t="s">
        <v>1907</v>
      </c>
      <c r="E978" s="10" t="str">
        <f>HYPERLINK("https://twitter.com/LuisVicenteTor8/status/1071110604381962245","1071110604381962245")</f>
        <v>1071110604381962245</v>
      </c>
      <c r="F978" s="18" t="s">
        <v>961</v>
      </c>
      <c r="G978" s="11"/>
      <c r="H978" s="11"/>
      <c r="I978" s="13">
        <v>2</v>
      </c>
      <c r="J978" s="13">
        <v>1</v>
      </c>
      <c r="K978" s="14" t="str">
        <f t="shared" si="186"/>
        <v>Twitter Web Client</v>
      </c>
      <c r="L978" s="13">
        <v>93</v>
      </c>
      <c r="M978" s="13">
        <v>436</v>
      </c>
      <c r="N978" s="13">
        <v>0</v>
      </c>
      <c r="O978" s="15"/>
      <c r="P978" s="6">
        <v>43354.80641203704</v>
      </c>
      <c r="Q978" s="18" t="s">
        <v>1908</v>
      </c>
      <c r="R978" s="19" t="s">
        <v>1909</v>
      </c>
      <c r="S978" s="12" t="s">
        <v>1910</v>
      </c>
      <c r="T978" s="11"/>
      <c r="U978" s="10" t="str">
        <f>HYPERLINK("https://pbs.twimg.com/profile_images/1041672843493351425/LcB3kYBL.jpg","View")</f>
        <v>View</v>
      </c>
    </row>
    <row r="979" spans="1:21" ht="40.799999999999997">
      <c r="A979" s="6">
        <v>43441.813703703709</v>
      </c>
      <c r="B979" s="7" t="str">
        <f>HYPERLINK("https://twitter.com/hopedsy","@hopedsy")</f>
        <v>@hopedsy</v>
      </c>
      <c r="C979" s="8" t="s">
        <v>2351</v>
      </c>
      <c r="D979" s="9" t="s">
        <v>879</v>
      </c>
      <c r="E979" s="10" t="str">
        <f>HYPERLINK("https://twitter.com/hopedsy/status/1071110025182101506","1071110025182101506")</f>
        <v>1071110025182101506</v>
      </c>
      <c r="F979" s="12" t="s">
        <v>881</v>
      </c>
      <c r="G979" s="11"/>
      <c r="H979" s="11"/>
      <c r="I979" s="13">
        <v>2</v>
      </c>
      <c r="J979" s="13">
        <v>1</v>
      </c>
      <c r="K979" s="14" t="str">
        <f>HYPERLINK("http://twitter.com/download/android","Twitter for Android")</f>
        <v>Twitter for Android</v>
      </c>
      <c r="L979" s="13">
        <v>407</v>
      </c>
      <c r="M979" s="13">
        <v>569</v>
      </c>
      <c r="N979" s="13">
        <v>15</v>
      </c>
      <c r="O979" s="15"/>
      <c r="P979" s="6">
        <v>42568.50172453704</v>
      </c>
      <c r="Q979" s="11"/>
      <c r="R979" s="19" t="s">
        <v>2355</v>
      </c>
      <c r="S979" s="11"/>
      <c r="T979" s="11"/>
      <c r="U979" s="10" t="str">
        <f>HYPERLINK("https://pbs.twimg.com/profile_images/814237291229147136/bJPBbvoq.jpg","View")</f>
        <v>View</v>
      </c>
    </row>
    <row r="980" spans="1:21" ht="20.399999999999999">
      <c r="A980" s="6">
        <v>43441.812037037038</v>
      </c>
      <c r="B980" s="7" t="str">
        <f>HYPERLINK("https://twitter.com/Paula_Churches_","@Paula_Churches_")</f>
        <v>@Paula_Churches_</v>
      </c>
      <c r="C980" s="8" t="s">
        <v>5114</v>
      </c>
      <c r="D980" s="9" t="s">
        <v>5115</v>
      </c>
      <c r="E980" s="10" t="str">
        <f>HYPERLINK("https://twitter.com/Paula_Churches_/status/1071109418320826368","1071109418320826368")</f>
        <v>1071109418320826368</v>
      </c>
      <c r="F980" s="12" t="s">
        <v>5116</v>
      </c>
      <c r="G980" s="11"/>
      <c r="H980" s="11"/>
      <c r="I980" s="13">
        <v>0</v>
      </c>
      <c r="J980" s="13">
        <v>0</v>
      </c>
      <c r="K980" s="14" t="str">
        <f>HYPERLINK("https://ifttt.com","IFTTT")</f>
        <v>IFTTT</v>
      </c>
      <c r="L980" s="13">
        <v>233</v>
      </c>
      <c r="M980" s="13">
        <v>445</v>
      </c>
      <c r="N980" s="13">
        <v>1</v>
      </c>
      <c r="O980" s="15"/>
      <c r="P980" s="6">
        <v>42975.483206018514</v>
      </c>
      <c r="Q980" s="18" t="s">
        <v>5117</v>
      </c>
      <c r="R980" s="19" t="s">
        <v>5118</v>
      </c>
      <c r="S980" s="11"/>
      <c r="T980" s="11"/>
      <c r="U980" s="10" t="str">
        <f>HYPERLINK("https://pbs.twimg.com/profile_images/908707812867493889/YtXsLgH7.jpg","View")</f>
        <v>View</v>
      </c>
    </row>
    <row r="981" spans="1:21" ht="51">
      <c r="A981" s="6">
        <v>43441.810810185183</v>
      </c>
      <c r="B981" s="7" t="str">
        <f>HYPERLINK("https://twitter.com/retazos_j","@retazos_j")</f>
        <v>@retazos_j</v>
      </c>
      <c r="C981" s="8" t="s">
        <v>1911</v>
      </c>
      <c r="D981" s="9" t="s">
        <v>1912</v>
      </c>
      <c r="E981" s="10" t="str">
        <f>HYPERLINK("https://twitter.com/retazos_j/status/1071108974248976385","1071108974248976385")</f>
        <v>1071108974248976385</v>
      </c>
      <c r="F981" s="11"/>
      <c r="G981" s="12" t="s">
        <v>1913</v>
      </c>
      <c r="H981" s="11"/>
      <c r="I981" s="13">
        <v>3</v>
      </c>
      <c r="J981" s="13">
        <v>1</v>
      </c>
      <c r="K981" s="14" t="str">
        <f t="shared" ref="K981:K984" si="187">HYPERLINK("http://twitter.com","Twitter Web Client")</f>
        <v>Twitter Web Client</v>
      </c>
      <c r="L981" s="13">
        <v>1101</v>
      </c>
      <c r="M981" s="13">
        <v>3382</v>
      </c>
      <c r="N981" s="13">
        <v>3</v>
      </c>
      <c r="O981" s="15"/>
      <c r="P981" s="6">
        <v>42127.823946759258</v>
      </c>
      <c r="Q981" s="18" t="s">
        <v>942</v>
      </c>
      <c r="R981" s="19" t="s">
        <v>1916</v>
      </c>
      <c r="S981" s="11"/>
      <c r="T981" s="11"/>
      <c r="U981" s="10" t="str">
        <f>HYPERLINK("https://pbs.twimg.com/profile_images/602888631020294144/i9RzOeS8.jpg","View")</f>
        <v>View</v>
      </c>
    </row>
    <row r="982" spans="1:21" ht="40.799999999999997">
      <c r="A982" s="6">
        <v>43441.810740740737</v>
      </c>
      <c r="B982" s="7" t="str">
        <f>HYPERLINK("https://twitter.com/1anonlyone","@1anonlyone")</f>
        <v>@1anonlyone</v>
      </c>
      <c r="C982" s="8" t="s">
        <v>4820</v>
      </c>
      <c r="D982" s="9" t="s">
        <v>5119</v>
      </c>
      <c r="E982" s="10" t="str">
        <f>HYPERLINK("https://twitter.com/1anonlyone/status/1071108947648659458","1071108947648659458")</f>
        <v>1071108947648659458</v>
      </c>
      <c r="F982" s="12" t="s">
        <v>4822</v>
      </c>
      <c r="G982" s="11"/>
      <c r="H982" s="11"/>
      <c r="I982" s="13">
        <v>0</v>
      </c>
      <c r="J982" s="13">
        <v>0</v>
      </c>
      <c r="K982" s="14" t="str">
        <f t="shared" si="187"/>
        <v>Twitter Web Client</v>
      </c>
      <c r="L982" s="13">
        <v>89</v>
      </c>
      <c r="M982" s="13">
        <v>639</v>
      </c>
      <c r="N982" s="13">
        <v>0</v>
      </c>
      <c r="O982" s="15"/>
      <c r="P982" s="6">
        <v>41225.916041666671</v>
      </c>
      <c r="Q982" s="11"/>
      <c r="R982" s="17"/>
      <c r="S982" s="11"/>
      <c r="T982" s="11"/>
      <c r="U982" s="16" t="s">
        <v>191</v>
      </c>
    </row>
    <row r="983" spans="1:21" ht="51">
      <c r="A983" s="6">
        <v>43441.809918981482</v>
      </c>
      <c r="B983" s="7" t="str">
        <f>HYPERLINK("https://twitter.com/Rober_Alcaz","@Rober_Alcaz")</f>
        <v>@Rober_Alcaz</v>
      </c>
      <c r="C983" s="8" t="s">
        <v>405</v>
      </c>
      <c r="D983" s="9" t="s">
        <v>1917</v>
      </c>
      <c r="E983" s="10" t="str">
        <f>HYPERLINK("https://twitter.com/Rober_Alcaz/status/1071108652445126657","1071108652445126657")</f>
        <v>1071108652445126657</v>
      </c>
      <c r="F983" s="11"/>
      <c r="G983" s="12" t="s">
        <v>1918</v>
      </c>
      <c r="H983" s="11"/>
      <c r="I983" s="13">
        <v>0</v>
      </c>
      <c r="J983" s="13">
        <v>1</v>
      </c>
      <c r="K983" s="14" t="str">
        <f t="shared" si="187"/>
        <v>Twitter Web Client</v>
      </c>
      <c r="L983" s="13">
        <v>1149</v>
      </c>
      <c r="M983" s="13">
        <v>1173</v>
      </c>
      <c r="N983" s="13">
        <v>9</v>
      </c>
      <c r="O983" s="15"/>
      <c r="P983" s="6">
        <v>42700.788993055554</v>
      </c>
      <c r="Q983" s="11"/>
      <c r="R983" s="19" t="s">
        <v>409</v>
      </c>
      <c r="S983" s="11"/>
      <c r="T983" s="11"/>
      <c r="U983" s="10" t="str">
        <f>HYPERLINK("https://pbs.twimg.com/profile_images/804448079604809728/z4q3NnYD.jpg","View")</f>
        <v>View</v>
      </c>
    </row>
    <row r="984" spans="1:21" ht="30.6">
      <c r="A984" s="6">
        <v>43441.808379629627</v>
      </c>
      <c r="B984" s="7" t="str">
        <f>HYPERLINK("https://twitter.com/JuanVelascoJuve","@JuanVelascoJuve")</f>
        <v>@JuanVelascoJuve</v>
      </c>
      <c r="C984" s="8" t="s">
        <v>5120</v>
      </c>
      <c r="D984" s="9" t="s">
        <v>5121</v>
      </c>
      <c r="E984" s="10" t="str">
        <f>HYPERLINK("https://twitter.com/JuanVelascoJuve/status/1071108091956158464","1071108091956158464")</f>
        <v>1071108091956158464</v>
      </c>
      <c r="F984" s="11"/>
      <c r="G984" s="11"/>
      <c r="H984" s="11"/>
      <c r="I984" s="13">
        <v>0</v>
      </c>
      <c r="J984" s="13">
        <v>0</v>
      </c>
      <c r="K984" s="14" t="str">
        <f t="shared" si="187"/>
        <v>Twitter Web Client</v>
      </c>
      <c r="L984" s="13">
        <v>457</v>
      </c>
      <c r="M984" s="13">
        <v>3559</v>
      </c>
      <c r="N984" s="13">
        <v>2</v>
      </c>
      <c r="O984" s="15"/>
      <c r="P984" s="6">
        <v>40819.729409722218</v>
      </c>
      <c r="Q984" s="18" t="s">
        <v>5122</v>
      </c>
      <c r="R984" s="19" t="s">
        <v>5123</v>
      </c>
      <c r="S984" s="11"/>
      <c r="T984" s="11"/>
      <c r="U984" s="10" t="str">
        <f>HYPERLINK("https://pbs.twimg.com/profile_images/468355677912461312/HUKWk7Vd.jpeg","View")</f>
        <v>View</v>
      </c>
    </row>
    <row r="985" spans="1:21" ht="40.799999999999997">
      <c r="A985" s="6">
        <v>43441.808159722219</v>
      </c>
      <c r="B985" s="7" t="str">
        <f>HYPERLINK("https://twitter.com/PdeSamos","@PdeSamos")</f>
        <v>@PdeSamos</v>
      </c>
      <c r="C985" s="8" t="s">
        <v>1432</v>
      </c>
      <c r="D985" s="9" t="s">
        <v>5124</v>
      </c>
      <c r="E985" s="10" t="str">
        <f>HYPERLINK("https://twitter.com/PdeSamos/status/1071108014122381312","1071108014122381312")</f>
        <v>1071108014122381312</v>
      </c>
      <c r="F985" s="12" t="s">
        <v>5125</v>
      </c>
      <c r="G985" s="11"/>
      <c r="H985" s="11"/>
      <c r="I985" s="13">
        <v>0</v>
      </c>
      <c r="J985" s="13">
        <v>0</v>
      </c>
      <c r="K985" s="14" t="str">
        <f>HYPERLINK("http://republico.ddns.net","App Libertad PdeSamos")</f>
        <v>App Libertad PdeSamos</v>
      </c>
      <c r="L985" s="13">
        <v>5398</v>
      </c>
      <c r="M985" s="13">
        <v>5441</v>
      </c>
      <c r="N985" s="13">
        <v>12</v>
      </c>
      <c r="O985" s="15"/>
      <c r="P985" s="6">
        <v>42889.820567129631</v>
      </c>
      <c r="Q985" s="18" t="s">
        <v>1336</v>
      </c>
      <c r="R985" s="19" t="s">
        <v>1438</v>
      </c>
      <c r="S985" s="11"/>
      <c r="T985" s="11"/>
      <c r="U985" s="10" t="str">
        <f>HYPERLINK("https://pbs.twimg.com/profile_images/871063742003511296/xK2IYbrO.jpg","View")</f>
        <v>View</v>
      </c>
    </row>
    <row r="986" spans="1:21" ht="30.6">
      <c r="A986" s="6">
        <v>43441.807141203702</v>
      </c>
      <c r="B986" s="7" t="str">
        <f>HYPERLINK("https://twitter.com/Bruce_lee62","@Bruce_lee62")</f>
        <v>@Bruce_lee62</v>
      </c>
      <c r="C986" s="8" t="s">
        <v>1920</v>
      </c>
      <c r="D986" s="9" t="s">
        <v>1921</v>
      </c>
      <c r="E986" s="10" t="str">
        <f>HYPERLINK("https://twitter.com/Bruce_lee62/status/1071107645564702721","1071107645564702721")</f>
        <v>1071107645564702721</v>
      </c>
      <c r="F986" s="11"/>
      <c r="G986" s="12" t="s">
        <v>1922</v>
      </c>
      <c r="H986" s="11"/>
      <c r="I986" s="13">
        <v>1</v>
      </c>
      <c r="J986" s="13">
        <v>1</v>
      </c>
      <c r="K986" s="14" t="str">
        <f>HYPERLINK("http://twitter.com/#!/download/ipad","Twitter for iPad")</f>
        <v>Twitter for iPad</v>
      </c>
      <c r="L986" s="13">
        <v>63</v>
      </c>
      <c r="M986" s="13">
        <v>76</v>
      </c>
      <c r="N986" s="13">
        <v>0</v>
      </c>
      <c r="O986" s="15"/>
      <c r="P986" s="6">
        <v>42542.027372685188</v>
      </c>
      <c r="Q986" s="18" t="s">
        <v>1925</v>
      </c>
      <c r="R986" s="19" t="s">
        <v>1926</v>
      </c>
      <c r="S986" s="12" t="s">
        <v>1927</v>
      </c>
      <c r="T986" s="11"/>
      <c r="U986" s="10" t="str">
        <f>HYPERLINK("https://pbs.twimg.com/profile_images/897379655644327937/KeCOxC6T.jpg","View")</f>
        <v>View</v>
      </c>
    </row>
    <row r="987" spans="1:21" ht="40.799999999999997">
      <c r="A987" s="6">
        <v>43441.806990740741</v>
      </c>
      <c r="B987" s="7" t="str">
        <f>HYPERLINK("https://twitter.com/jemahuja","@jemahuja")</f>
        <v>@jemahuja</v>
      </c>
      <c r="C987" s="8" t="s">
        <v>2327</v>
      </c>
      <c r="D987" s="9" t="s">
        <v>5126</v>
      </c>
      <c r="E987" s="10" t="str">
        <f>HYPERLINK("https://twitter.com/jemahuja/status/1071107592334819328","1071107592334819328")</f>
        <v>1071107592334819328</v>
      </c>
      <c r="F987" s="12" t="s">
        <v>5127</v>
      </c>
      <c r="G987" s="11"/>
      <c r="H987" s="11"/>
      <c r="I987" s="13">
        <v>0</v>
      </c>
      <c r="J987" s="13">
        <v>0</v>
      </c>
      <c r="K987" s="14" t="str">
        <f>HYPERLINK("http://www.facebook.com/twitter","Facebook")</f>
        <v>Facebook</v>
      </c>
      <c r="L987" s="13">
        <v>4865</v>
      </c>
      <c r="M987" s="13">
        <v>5077</v>
      </c>
      <c r="N987" s="13">
        <v>69</v>
      </c>
      <c r="O987" s="15"/>
      <c r="P987" s="6">
        <v>40624.647256944445</v>
      </c>
      <c r="Q987" s="11"/>
      <c r="R987" s="19" t="s">
        <v>2329</v>
      </c>
      <c r="S987" s="12" t="s">
        <v>2330</v>
      </c>
      <c r="T987" s="11"/>
      <c r="U987" s="10" t="str">
        <f>HYPERLINK("https://pbs.twimg.com/profile_images/979014863442907137/Qus9jozf.jpg","View")</f>
        <v>View</v>
      </c>
    </row>
    <row r="988" spans="1:21" ht="40.799999999999997">
      <c r="A988" s="6">
        <v>43441.806481481486</v>
      </c>
      <c r="B988" s="7" t="str">
        <f>HYPERLINK("https://twitter.com/ricard0miranda","@ricard0miranda")</f>
        <v>@ricard0miranda</v>
      </c>
      <c r="C988" s="8" t="s">
        <v>5128</v>
      </c>
      <c r="D988" s="9" t="s">
        <v>5129</v>
      </c>
      <c r="E988" s="10" t="str">
        <f>HYPERLINK("https://twitter.com/ricard0miranda/status/1071107405767950336","1071107405767950336")</f>
        <v>1071107405767950336</v>
      </c>
      <c r="F988" s="12" t="s">
        <v>5130</v>
      </c>
      <c r="G988" s="11"/>
      <c r="H988" s="11"/>
      <c r="I988" s="13">
        <v>0</v>
      </c>
      <c r="J988" s="13">
        <v>0</v>
      </c>
      <c r="K988" s="14" t="str">
        <f t="shared" ref="K988:K989" si="188">HYPERLINK("http://twitter.com","Twitter Web Client")</f>
        <v>Twitter Web Client</v>
      </c>
      <c r="L988" s="13">
        <v>272</v>
      </c>
      <c r="M988" s="13">
        <v>317</v>
      </c>
      <c r="N988" s="13">
        <v>2</v>
      </c>
      <c r="O988" s="15"/>
      <c r="P988" s="6">
        <v>40423.535497685181</v>
      </c>
      <c r="Q988" s="18" t="s">
        <v>26</v>
      </c>
      <c r="R988" s="19" t="s">
        <v>5131</v>
      </c>
      <c r="S988" s="11"/>
      <c r="T988" s="11"/>
      <c r="U988" s="10" t="str">
        <f>HYPERLINK("https://pbs.twimg.com/profile_images/985119495252475906/0gRndtys.jpg","View")</f>
        <v>View</v>
      </c>
    </row>
    <row r="989" spans="1:21" ht="51">
      <c r="A989" s="6">
        <v>43441.806423611109</v>
      </c>
      <c r="B989" s="7" t="str">
        <f>HYPERLINK("https://twitter.com/Arena18858359","@Arena18858359")</f>
        <v>@Arena18858359</v>
      </c>
      <c r="C989" s="8" t="s">
        <v>5132</v>
      </c>
      <c r="D989" s="9" t="s">
        <v>5133</v>
      </c>
      <c r="E989" s="10" t="str">
        <f>HYPERLINK("https://twitter.com/Arena18858359/status/1071107385857585153","1071107385857585153")</f>
        <v>1071107385857585153</v>
      </c>
      <c r="F989" s="11"/>
      <c r="G989" s="12" t="s">
        <v>5134</v>
      </c>
      <c r="H989" s="11"/>
      <c r="I989" s="13">
        <v>5</v>
      </c>
      <c r="J989" s="13">
        <v>2</v>
      </c>
      <c r="K989" s="14" t="str">
        <f t="shared" si="188"/>
        <v>Twitter Web Client</v>
      </c>
      <c r="L989" s="13">
        <v>755</v>
      </c>
      <c r="M989" s="13">
        <v>1525</v>
      </c>
      <c r="N989" s="13">
        <v>1</v>
      </c>
      <c r="O989" s="15"/>
      <c r="P989" s="6">
        <v>43350.452592592592</v>
      </c>
      <c r="Q989" s="18" t="s">
        <v>42</v>
      </c>
      <c r="R989" s="19" t="s">
        <v>5135</v>
      </c>
      <c r="S989" s="11"/>
      <c r="T989" s="11"/>
      <c r="U989" s="10" t="str">
        <f>HYPERLINK("https://pbs.twimg.com/profile_images/1039634742386274304/Qn8VC5bf.jpg","View")</f>
        <v>View</v>
      </c>
    </row>
    <row r="990" spans="1:21" ht="51">
      <c r="A990" s="6">
        <v>43441.806076388893</v>
      </c>
      <c r="B990" s="7" t="str">
        <f>HYPERLINK("https://twitter.com/LGallifantes","@LGallifantes")</f>
        <v>@LGallifantes</v>
      </c>
      <c r="C990" s="8" t="s">
        <v>1928</v>
      </c>
      <c r="D990" s="9" t="s">
        <v>1930</v>
      </c>
      <c r="E990" s="10" t="str">
        <f>HYPERLINK("https://twitter.com/LGallifantes/status/1071107257998417920","1071107257998417920")</f>
        <v>1071107257998417920</v>
      </c>
      <c r="F990" s="18" t="s">
        <v>1932</v>
      </c>
      <c r="G990" s="11"/>
      <c r="H990" s="11"/>
      <c r="I990" s="13">
        <v>0</v>
      </c>
      <c r="J990" s="13">
        <v>0</v>
      </c>
      <c r="K990" s="14" t="str">
        <f>HYPERLINK("http://twitter.com/download/iphone","Twitter for iPhone")</f>
        <v>Twitter for iPhone</v>
      </c>
      <c r="L990" s="13">
        <v>223</v>
      </c>
      <c r="M990" s="13">
        <v>393</v>
      </c>
      <c r="N990" s="13">
        <v>0</v>
      </c>
      <c r="O990" s="15"/>
      <c r="P990" s="6">
        <v>43313.590555555551</v>
      </c>
      <c r="Q990" s="11"/>
      <c r="R990" s="19" t="s">
        <v>1933</v>
      </c>
      <c r="S990" s="11"/>
      <c r="T990" s="11"/>
      <c r="U990" s="10" t="str">
        <f>HYPERLINK("https://pbs.twimg.com/profile_images/1024628867414278144/0b6J4lCS.jpg","View")</f>
        <v>View</v>
      </c>
    </row>
    <row r="991" spans="1:21" ht="20.399999999999999">
      <c r="A991" s="6">
        <v>43441.805937500001</v>
      </c>
      <c r="B991" s="7" t="str">
        <f>HYPERLINK("https://twitter.com/joselgutierrez5","@joselgutierrez5")</f>
        <v>@joselgutierrez5</v>
      </c>
      <c r="C991" s="8" t="s">
        <v>1934</v>
      </c>
      <c r="D991" s="9" t="s">
        <v>1935</v>
      </c>
      <c r="E991" s="10" t="str">
        <f>HYPERLINK("https://twitter.com/joselgutierrez5/status/1071107208828649472","1071107208828649472")</f>
        <v>1071107208828649472</v>
      </c>
      <c r="F991" s="11"/>
      <c r="G991" s="12" t="s">
        <v>1937</v>
      </c>
      <c r="H991" s="11"/>
      <c r="I991" s="13">
        <v>0</v>
      </c>
      <c r="J991" s="13">
        <v>1</v>
      </c>
      <c r="K991" s="14" t="str">
        <f>HYPERLINK("http://twitter.com","Twitter Web Client")</f>
        <v>Twitter Web Client</v>
      </c>
      <c r="L991" s="13">
        <v>146</v>
      </c>
      <c r="M991" s="13">
        <v>182</v>
      </c>
      <c r="N991" s="13">
        <v>5</v>
      </c>
      <c r="O991" s="15"/>
      <c r="P991" s="6">
        <v>42177.647673611107</v>
      </c>
      <c r="Q991" s="11"/>
      <c r="R991" s="17"/>
      <c r="S991" s="11"/>
      <c r="T991" s="11"/>
      <c r="U991" s="10" t="str">
        <f>HYPERLINK("https://pbs.twimg.com/profile_images/613313515512709120/koXKEiup.jpg","View")</f>
        <v>View</v>
      </c>
    </row>
    <row r="992" spans="1:21" ht="20.399999999999999">
      <c r="A992" s="6">
        <v>43441.805659722224</v>
      </c>
      <c r="B992" s="7" t="str">
        <f>HYPERLINK("https://twitter.com/RT_Podemos","@RT_Podemos")</f>
        <v>@RT_Podemos</v>
      </c>
      <c r="C992" s="8" t="s">
        <v>5136</v>
      </c>
      <c r="D992" s="9" t="s">
        <v>5137</v>
      </c>
      <c r="E992" s="10" t="str">
        <f>HYPERLINK("https://twitter.com/RT_Podemos/status/1071107109058695168","1071107109058695168")</f>
        <v>1071107109058695168</v>
      </c>
      <c r="F992" s="12" t="s">
        <v>4228</v>
      </c>
      <c r="G992" s="11"/>
      <c r="H992" s="11"/>
      <c r="I992" s="13">
        <v>0</v>
      </c>
      <c r="J992" s="13">
        <v>0</v>
      </c>
      <c r="K992" s="14" t="str">
        <f>HYPERLINK("https://ifttt.com","IFTTT")</f>
        <v>IFTTT</v>
      </c>
      <c r="L992" s="13">
        <v>893</v>
      </c>
      <c r="M992" s="13">
        <v>820</v>
      </c>
      <c r="N992" s="13">
        <v>10</v>
      </c>
      <c r="O992" s="15"/>
      <c r="P992" s="6">
        <v>42366.035416666666</v>
      </c>
      <c r="Q992" s="18" t="s">
        <v>41</v>
      </c>
      <c r="R992" s="19" t="s">
        <v>5138</v>
      </c>
      <c r="S992" s="12" t="s">
        <v>5139</v>
      </c>
      <c r="T992" s="11"/>
      <c r="U992" s="10" t="str">
        <f>HYPERLINK("https://pbs.twimg.com/profile_images/956368432038998016/iIAR1zXD.jpg","View")</f>
        <v>View</v>
      </c>
    </row>
    <row r="993" spans="1:21" ht="51">
      <c r="A993" s="6">
        <v>43441.805277777778</v>
      </c>
      <c r="B993" s="7" t="str">
        <f>HYPERLINK("https://twitter.com/jmconejo","@jmconejo")</f>
        <v>@jmconejo</v>
      </c>
      <c r="C993" s="8" t="s">
        <v>1940</v>
      </c>
      <c r="D993" s="9" t="s">
        <v>1941</v>
      </c>
      <c r="E993" s="10" t="str">
        <f>HYPERLINK("https://twitter.com/jmconejo/status/1071106968293650435","1071106968293650435")</f>
        <v>1071106968293650435</v>
      </c>
      <c r="F993" s="11"/>
      <c r="G993" s="12" t="s">
        <v>1943</v>
      </c>
      <c r="H993" s="11"/>
      <c r="I993" s="13">
        <v>0</v>
      </c>
      <c r="J993" s="13">
        <v>0</v>
      </c>
      <c r="K993" s="14" t="str">
        <f>HYPERLINK("http://twitter.com/download/iphone","Twitter for iPhone")</f>
        <v>Twitter for iPhone</v>
      </c>
      <c r="L993" s="13">
        <v>2299</v>
      </c>
      <c r="M993" s="13">
        <v>2870</v>
      </c>
      <c r="N993" s="13">
        <v>77</v>
      </c>
      <c r="O993" s="15"/>
      <c r="P993" s="6">
        <v>40571.872662037036</v>
      </c>
      <c r="Q993" s="18" t="s">
        <v>1944</v>
      </c>
      <c r="R993" s="19" t="s">
        <v>1945</v>
      </c>
      <c r="S993" s="11"/>
      <c r="T993" s="11"/>
      <c r="U993" s="10" t="str">
        <f>HYPERLINK("https://pbs.twimg.com/profile_images/1068583848068427777/43FNkCwo.jpg","View")</f>
        <v>View</v>
      </c>
    </row>
    <row r="994" spans="1:21" ht="40.799999999999997">
      <c r="A994" s="6">
        <v>43441.805150462962</v>
      </c>
      <c r="B994" s="7" t="str">
        <f>HYPERLINK("https://twitter.com/RaPiqFu","@RaPiqFu")</f>
        <v>@RaPiqFu</v>
      </c>
      <c r="C994" s="8" t="s">
        <v>1947</v>
      </c>
      <c r="D994" s="9" t="s">
        <v>1948</v>
      </c>
      <c r="E994" s="10" t="str">
        <f>HYPERLINK("https://twitter.com/RaPiqFu/status/1071106925486575617","1071106925486575617")</f>
        <v>1071106925486575617</v>
      </c>
      <c r="F994" s="18" t="s">
        <v>1949</v>
      </c>
      <c r="G994" s="11"/>
      <c r="H994" s="11"/>
      <c r="I994" s="13">
        <v>0</v>
      </c>
      <c r="J994" s="13">
        <v>0</v>
      </c>
      <c r="K994" s="14" t="str">
        <f>HYPERLINK("http://twitter.com/download/android","Twitter for Android")</f>
        <v>Twitter for Android</v>
      </c>
      <c r="L994" s="13">
        <v>1591</v>
      </c>
      <c r="M994" s="13">
        <v>813</v>
      </c>
      <c r="N994" s="13">
        <v>21</v>
      </c>
      <c r="O994" s="15"/>
      <c r="P994" s="6">
        <v>40595.905127314814</v>
      </c>
      <c r="Q994" s="18" t="s">
        <v>126</v>
      </c>
      <c r="R994" s="19" t="s">
        <v>1950</v>
      </c>
      <c r="S994" s="11"/>
      <c r="T994" s="11"/>
      <c r="U994" s="10" t="str">
        <f>HYPERLINK("https://pbs.twimg.com/profile_images/1069925999566041088/3oxibisV.jpg","View")</f>
        <v>View</v>
      </c>
    </row>
    <row r="995" spans="1:21" ht="102">
      <c r="A995" s="6">
        <v>43441.805023148147</v>
      </c>
      <c r="B995" s="7" t="str">
        <f>HYPERLINK("https://twitter.com/carova48","@carova48")</f>
        <v>@carova48</v>
      </c>
      <c r="C995" s="8" t="s">
        <v>1951</v>
      </c>
      <c r="D995" s="9" t="s">
        <v>1952</v>
      </c>
      <c r="E995" s="10" t="str">
        <f>HYPERLINK("https://twitter.com/carova48/status/1071106878548135936","1071106878548135936")</f>
        <v>1071106878548135936</v>
      </c>
      <c r="F995" s="12" t="s">
        <v>734</v>
      </c>
      <c r="G995" s="12" t="s">
        <v>735</v>
      </c>
      <c r="H995" s="11"/>
      <c r="I995" s="13">
        <v>0</v>
      </c>
      <c r="J995" s="13">
        <v>0</v>
      </c>
      <c r="K995" s="14" t="str">
        <f>HYPERLINK("http://twitter.com","Twitter Web Client")</f>
        <v>Twitter Web Client</v>
      </c>
      <c r="L995" s="13">
        <v>169</v>
      </c>
      <c r="M995" s="13">
        <v>231</v>
      </c>
      <c r="N995" s="13">
        <v>0</v>
      </c>
      <c r="O995" s="15"/>
      <c r="P995" s="6">
        <v>40860.866145833337</v>
      </c>
      <c r="Q995" s="18" t="s">
        <v>1953</v>
      </c>
      <c r="R995" s="17"/>
      <c r="S995" s="11"/>
      <c r="T995" s="11"/>
      <c r="U995" s="10" t="str">
        <f>HYPERLINK("https://pbs.twimg.com/profile_images/1018566663220944900/TLj1sshS.jpg","View")</f>
        <v>View</v>
      </c>
    </row>
    <row r="996" spans="1:21" ht="40.799999999999997">
      <c r="A996" s="6">
        <v>43441.804282407407</v>
      </c>
      <c r="B996" s="7" t="str">
        <f>HYPERLINK("https://twitter.com/jorgeserna12","@jorgeserna12")</f>
        <v>@jorgeserna12</v>
      </c>
      <c r="C996" s="8" t="s">
        <v>5142</v>
      </c>
      <c r="D996" s="9" t="s">
        <v>5143</v>
      </c>
      <c r="E996" s="10" t="str">
        <f>HYPERLINK("https://twitter.com/jorgeserna12/status/1071106610767060998","1071106610767060998")</f>
        <v>1071106610767060998</v>
      </c>
      <c r="F996" s="11"/>
      <c r="G996" s="12" t="s">
        <v>5144</v>
      </c>
      <c r="H996" s="11"/>
      <c r="I996" s="13">
        <v>1</v>
      </c>
      <c r="J996" s="13">
        <v>4</v>
      </c>
      <c r="K996" s="14" t="str">
        <f>HYPERLINK("http://twitter.com/download/iphone","Twitter for iPhone")</f>
        <v>Twitter for iPhone</v>
      </c>
      <c r="L996" s="13">
        <v>2347</v>
      </c>
      <c r="M996" s="13">
        <v>868</v>
      </c>
      <c r="N996" s="13">
        <v>23</v>
      </c>
      <c r="O996" s="15"/>
      <c r="P996" s="6">
        <v>40911.585115740745</v>
      </c>
      <c r="Q996" s="18" t="s">
        <v>5145</v>
      </c>
      <c r="R996" s="19" t="s">
        <v>5146</v>
      </c>
      <c r="S996" s="12" t="s">
        <v>5147</v>
      </c>
      <c r="T996" s="11"/>
      <c r="U996" s="10" t="str">
        <f>HYPERLINK("https://pbs.twimg.com/profile_images/986704174980259840/d79SwpgG.jpg","View")</f>
        <v>View</v>
      </c>
    </row>
    <row r="997" spans="1:21" ht="40.799999999999997">
      <c r="A997" s="6">
        <v>43441.804062499999</v>
      </c>
      <c r="B997" s="7" t="str">
        <f>HYPERLINK("https://twitter.com/MaryseFan_Elias","@MaryseFan_Elias")</f>
        <v>@MaryseFan_Elias</v>
      </c>
      <c r="C997" s="8" t="s">
        <v>5148</v>
      </c>
      <c r="D997" s="9" t="s">
        <v>5149</v>
      </c>
      <c r="E997" s="10" t="str">
        <f>HYPERLINK("https://twitter.com/MaryseFan_Elias/status/1071106527505866752","1071106527505866752")</f>
        <v>1071106527505866752</v>
      </c>
      <c r="F997" s="11"/>
      <c r="G997" s="11"/>
      <c r="H997" s="11"/>
      <c r="I997" s="13">
        <v>0</v>
      </c>
      <c r="J997" s="13">
        <v>0</v>
      </c>
      <c r="K997" s="14" t="str">
        <f>HYPERLINK("http://twitter.com/download/android","Twitter for Android")</f>
        <v>Twitter for Android</v>
      </c>
      <c r="L997" s="13">
        <v>4465</v>
      </c>
      <c r="M997" s="13">
        <v>4078</v>
      </c>
      <c r="N997" s="13">
        <v>11</v>
      </c>
      <c r="O997" s="15"/>
      <c r="P997" s="6">
        <v>40526.903715277775</v>
      </c>
      <c r="Q997" s="18" t="s">
        <v>173</v>
      </c>
      <c r="R997" s="19" t="s">
        <v>5150</v>
      </c>
      <c r="S997" s="11"/>
      <c r="T997" s="11"/>
      <c r="U997" s="10" t="str">
        <f>HYPERLINK("https://pbs.twimg.com/profile_images/1432181370/bath_copia.jpg","View")</f>
        <v>View</v>
      </c>
    </row>
    <row r="998" spans="1:21" ht="30.6">
      <c r="A998" s="6">
        <v>43441.803472222222</v>
      </c>
      <c r="B998" s="7" t="str">
        <f>HYPERLINK("https://twitter.com/ElHuffPost","@ElHuffPost")</f>
        <v>@ElHuffPost</v>
      </c>
      <c r="C998" s="8" t="s">
        <v>517</v>
      </c>
      <c r="D998" s="9" t="s">
        <v>834</v>
      </c>
      <c r="E998" s="10" t="str">
        <f>HYPERLINK("https://twitter.com/ElHuffPost/status/1071106317652189184","1071106317652189184")</f>
        <v>1071106317652189184</v>
      </c>
      <c r="F998" s="12" t="s">
        <v>4808</v>
      </c>
      <c r="G998" s="11"/>
      <c r="H998" s="11"/>
      <c r="I998" s="13">
        <v>3</v>
      </c>
      <c r="J998" s="13">
        <v>2</v>
      </c>
      <c r="K998" s="14" t="str">
        <f>HYPERLINK("https://about.twitter.com/products/tweetdeck","TweetDeck")</f>
        <v>TweetDeck</v>
      </c>
      <c r="L998" s="13">
        <v>431181</v>
      </c>
      <c r="M998" s="13">
        <v>1551</v>
      </c>
      <c r="N998" s="13">
        <v>8205</v>
      </c>
      <c r="O998" s="16" t="s">
        <v>25</v>
      </c>
      <c r="P998" s="6">
        <v>40785.027118055557</v>
      </c>
      <c r="Q998" s="18" t="s">
        <v>100</v>
      </c>
      <c r="R998" s="19" t="s">
        <v>523</v>
      </c>
      <c r="S998" s="12" t="s">
        <v>524</v>
      </c>
      <c r="T998" s="11"/>
      <c r="U998" s="10" t="str">
        <f>HYPERLINK("https://pbs.twimg.com/profile_images/921140803422089217/ETOEUOAx.jpg","View")</f>
        <v>View</v>
      </c>
    </row>
    <row r="999" spans="1:21" ht="40.799999999999997">
      <c r="A999" s="6">
        <v>43441.802407407406</v>
      </c>
      <c r="B999" s="7" t="str">
        <f>HYPERLINK("https://twitter.com/JMLosGarres","@JMLosGarres")</f>
        <v>@JMLosGarres</v>
      </c>
      <c r="C999" s="8" t="s">
        <v>5151</v>
      </c>
      <c r="D999" s="9" t="s">
        <v>5152</v>
      </c>
      <c r="E999" s="10" t="str">
        <f>HYPERLINK("https://twitter.com/JMLosGarres/status/1071105928383135744","1071105928383135744")</f>
        <v>1071105928383135744</v>
      </c>
      <c r="F999" s="11"/>
      <c r="G999" s="12" t="s">
        <v>5153</v>
      </c>
      <c r="H999" s="11"/>
      <c r="I999" s="13">
        <v>1</v>
      </c>
      <c r="J999" s="13">
        <v>3</v>
      </c>
      <c r="K999" s="14" t="str">
        <f>HYPERLINK("http://twitter.com/download/iphone","Twitter for iPhone")</f>
        <v>Twitter for iPhone</v>
      </c>
      <c r="L999" s="13">
        <v>52</v>
      </c>
      <c r="M999" s="13">
        <v>59</v>
      </c>
      <c r="N999" s="13">
        <v>1</v>
      </c>
      <c r="O999" s="15"/>
      <c r="P999" s="6">
        <v>42702.649236111116</v>
      </c>
      <c r="Q999" s="18" t="s">
        <v>5154</v>
      </c>
      <c r="R999" s="19" t="s">
        <v>5155</v>
      </c>
      <c r="S999" s="11"/>
      <c r="T999" s="11"/>
      <c r="U999" s="10" t="str">
        <f>HYPERLINK("https://pbs.twimg.com/profile_images/803247406234169344/aUUSRZDe.jpg","View")</f>
        <v>View</v>
      </c>
    </row>
    <row r="1000" spans="1:21" ht="40.799999999999997">
      <c r="A1000" s="6">
        <v>43441.802314814813</v>
      </c>
      <c r="B1000" s="7" t="str">
        <f>HYPERLINK("https://twitter.com/Sebi_Berenger","@Sebi_Berenger")</f>
        <v>@Sebi_Berenger</v>
      </c>
      <c r="C1000" s="8" t="s">
        <v>5156</v>
      </c>
      <c r="D1000" s="9" t="s">
        <v>5157</v>
      </c>
      <c r="E1000" s="10" t="str">
        <f>HYPERLINK("https://twitter.com/Sebi_Berenger/status/1071105894853894145","1071105894853894145")</f>
        <v>1071105894853894145</v>
      </c>
      <c r="F1000" s="12" t="s">
        <v>5158</v>
      </c>
      <c r="G1000" s="11"/>
      <c r="H1000" s="11"/>
      <c r="I1000" s="13">
        <v>1</v>
      </c>
      <c r="J1000" s="13">
        <v>1</v>
      </c>
      <c r="K1000" s="14" t="str">
        <f>HYPERLINK("http://twitter.com","Twitter Web Client")</f>
        <v>Twitter Web Client</v>
      </c>
      <c r="L1000" s="13">
        <v>1638</v>
      </c>
      <c r="M1000" s="13">
        <v>746</v>
      </c>
      <c r="N1000" s="13">
        <v>17</v>
      </c>
      <c r="O1000" s="15"/>
      <c r="P1000" s="6">
        <v>40543.820694444446</v>
      </c>
      <c r="Q1000" s="18" t="s">
        <v>5159</v>
      </c>
      <c r="R1000" s="19" t="s">
        <v>5160</v>
      </c>
      <c r="S1000" s="11"/>
      <c r="T1000" s="11"/>
      <c r="U1000" s="10" t="str">
        <f>HYPERLINK("https://pbs.twimg.com/profile_images/983752038294130688/f7YFl13_.jpg","View")</f>
        <v>View</v>
      </c>
    </row>
    <row r="1001" spans="1:21" ht="51">
      <c r="A1001" s="6">
        <v>43441.802280092597</v>
      </c>
      <c r="B1001" s="7" t="str">
        <f>HYPERLINK("https://twitter.com/cactusfurioso","@cactusfurioso")</f>
        <v>@cactusfurioso</v>
      </c>
      <c r="C1001" s="8" t="s">
        <v>1793</v>
      </c>
      <c r="D1001" s="9" t="s">
        <v>5161</v>
      </c>
      <c r="E1001" s="10" t="str">
        <f>HYPERLINK("https://twitter.com/cactusfurioso/status/1071105883088830464","1071105883088830464")</f>
        <v>1071105883088830464</v>
      </c>
      <c r="F1001" s="12" t="s">
        <v>5162</v>
      </c>
      <c r="G1001" s="11"/>
      <c r="H1001" s="11"/>
      <c r="I1001" s="13">
        <v>0</v>
      </c>
      <c r="J1001" s="13">
        <v>1</v>
      </c>
      <c r="K1001" s="14" t="str">
        <f>HYPERLINK("http://twitter.com/download/android","Twitter for Android")</f>
        <v>Twitter for Android</v>
      </c>
      <c r="L1001" s="13">
        <v>214</v>
      </c>
      <c r="M1001" s="13">
        <v>350</v>
      </c>
      <c r="N1001" s="13">
        <v>2</v>
      </c>
      <c r="O1001" s="15"/>
      <c r="P1001" s="6">
        <v>42209.680243055554</v>
      </c>
      <c r="Q1001" s="18" t="s">
        <v>5163</v>
      </c>
      <c r="R1001" s="19" t="s">
        <v>5164</v>
      </c>
      <c r="S1001" s="12" t="s">
        <v>5165</v>
      </c>
      <c r="T1001" s="11"/>
      <c r="U1001" s="10" t="str">
        <f>HYPERLINK("https://pbs.twimg.com/profile_images/1068685257136852993/ioy0hDhH.jpg","View")</f>
        <v>View</v>
      </c>
    </row>
    <row r="1002" spans="1:21" ht="20.399999999999999">
      <c r="A1002" s="6">
        <v>43441.801574074074</v>
      </c>
      <c r="B1002" s="7" t="str">
        <f>HYPERLINK("https://twitter.com/pepgonellate","@pepgonellate")</f>
        <v>@pepgonellate</v>
      </c>
      <c r="C1002" s="8" t="s">
        <v>5166</v>
      </c>
      <c r="D1002" s="9" t="s">
        <v>5167</v>
      </c>
      <c r="E1002" s="10" t="str">
        <f>HYPERLINK("https://twitter.com/pepgonellate/status/1071105627638980609","1071105627638980609")</f>
        <v>1071105627638980609</v>
      </c>
      <c r="F1002" s="12" t="s">
        <v>5168</v>
      </c>
      <c r="G1002" s="11"/>
      <c r="H1002" s="11"/>
      <c r="I1002" s="13">
        <v>0</v>
      </c>
      <c r="J1002" s="13">
        <v>0</v>
      </c>
      <c r="K1002" s="14" t="str">
        <f>HYPERLINK("http://www.facebook.com/twitter","Facebook")</f>
        <v>Facebook</v>
      </c>
      <c r="L1002" s="13">
        <v>912</v>
      </c>
      <c r="M1002" s="13">
        <v>1903</v>
      </c>
      <c r="N1002" s="13">
        <v>11</v>
      </c>
      <c r="O1002" s="15"/>
      <c r="P1002" s="6">
        <v>40622.714641203704</v>
      </c>
      <c r="Q1002" s="11"/>
      <c r="R1002" s="19" t="s">
        <v>5169</v>
      </c>
      <c r="S1002" s="11"/>
      <c r="T1002" s="11"/>
      <c r="U1002" s="10" t="str">
        <f>HYPERLINK("https://pbs.twimg.com/profile_images/447874437308616704/Xxre_p-w.jpeg","View")</f>
        <v>View</v>
      </c>
    </row>
    <row r="1003" spans="1:21" ht="51">
      <c r="A1003" s="6">
        <v>43441.800266203703</v>
      </c>
      <c r="B1003" s="7" t="str">
        <f>HYPERLINK("https://twitter.com/Pablo_Iglesias_","@Pablo_Iglesias_")</f>
        <v>@Pablo_Iglesias_</v>
      </c>
      <c r="C1003" s="8" t="s">
        <v>1532</v>
      </c>
      <c r="D1003" s="9" t="s">
        <v>5170</v>
      </c>
      <c r="E1003" s="10" t="str">
        <f>HYPERLINK("https://twitter.com/Pablo_Iglesias_/status/1071105155255451649","1071105155255451649")</f>
        <v>1071105155255451649</v>
      </c>
      <c r="F1003" s="12" t="s">
        <v>5171</v>
      </c>
      <c r="G1003" s="11"/>
      <c r="H1003" s="11"/>
      <c r="I1003" s="13">
        <v>2093</v>
      </c>
      <c r="J1003" s="13">
        <v>4060</v>
      </c>
      <c r="K1003" s="14" t="str">
        <f>HYPERLINK("http://twitter.com","Twitter Web Client")</f>
        <v>Twitter Web Client</v>
      </c>
      <c r="L1003" s="13">
        <v>2243645</v>
      </c>
      <c r="M1003" s="13">
        <v>2745</v>
      </c>
      <c r="N1003" s="13">
        <v>8492</v>
      </c>
      <c r="O1003" s="16" t="s">
        <v>25</v>
      </c>
      <c r="P1003" s="6">
        <v>40351.575300925928</v>
      </c>
      <c r="Q1003" s="18" t="s">
        <v>307</v>
      </c>
      <c r="R1003" s="19" t="s">
        <v>1538</v>
      </c>
      <c r="S1003" s="12" t="s">
        <v>1539</v>
      </c>
      <c r="T1003" s="11"/>
      <c r="U1003" s="10" t="str">
        <f>HYPERLINK("https://pbs.twimg.com/profile_images/902223370569338884/dL2D2A5P.jpg","View")</f>
        <v>View</v>
      </c>
    </row>
    <row r="1004" spans="1:21" ht="30.6">
      <c r="A1004" s="6">
        <v>43441.799317129626</v>
      </c>
      <c r="B1004" s="7" t="str">
        <f>HYPERLINK("https://twitter.com/Juan200363","@Juan200363")</f>
        <v>@Juan200363</v>
      </c>
      <c r="C1004" s="8" t="s">
        <v>1540</v>
      </c>
      <c r="D1004" s="9" t="s">
        <v>1956</v>
      </c>
      <c r="E1004" s="10" t="str">
        <f>HYPERLINK("https://twitter.com/Juan200363/status/1071104811293204480","1071104811293204480")</f>
        <v>1071104811293204480</v>
      </c>
      <c r="F1004" s="12" t="s">
        <v>1957</v>
      </c>
      <c r="G1004" s="11"/>
      <c r="H1004" s="11"/>
      <c r="I1004" s="13">
        <v>14</v>
      </c>
      <c r="J1004" s="13">
        <v>27</v>
      </c>
      <c r="K1004" s="14" t="str">
        <f t="shared" ref="K1004:K1005" si="189">HYPERLINK("http://twitter.com/download/android","Twitter for Android")</f>
        <v>Twitter for Android</v>
      </c>
      <c r="L1004" s="13">
        <v>2851</v>
      </c>
      <c r="M1004" s="13">
        <v>2598</v>
      </c>
      <c r="N1004" s="13">
        <v>4</v>
      </c>
      <c r="O1004" s="15"/>
      <c r="P1004" s="6">
        <v>40977.730636574073</v>
      </c>
      <c r="Q1004" s="18" t="s">
        <v>1958</v>
      </c>
      <c r="R1004" s="19" t="s">
        <v>1959</v>
      </c>
      <c r="S1004" s="12" t="s">
        <v>1960</v>
      </c>
      <c r="T1004" s="11"/>
      <c r="U1004" s="10" t="str">
        <f>HYPERLINK("https://pbs.twimg.com/profile_images/1066639785723392005/WiI5liwp.jpg","View")</f>
        <v>View</v>
      </c>
    </row>
    <row r="1005" spans="1:21" ht="30.6">
      <c r="A1005" s="6">
        <v>43441.798668981486</v>
      </c>
      <c r="B1005" s="7" t="str">
        <f>HYPERLINK("https://twitter.com/MercedesMartnV1","@MercedesMartnV1")</f>
        <v>@MercedesMartnV1</v>
      </c>
      <c r="C1005" s="8" t="s">
        <v>5172</v>
      </c>
      <c r="D1005" s="9" t="s">
        <v>5173</v>
      </c>
      <c r="E1005" s="10" t="str">
        <f>HYPERLINK("https://twitter.com/MercedesMartnV1/status/1071104575606845440","1071104575606845440")</f>
        <v>1071104575606845440</v>
      </c>
      <c r="F1005" s="11"/>
      <c r="G1005" s="11"/>
      <c r="H1005" s="11"/>
      <c r="I1005" s="13">
        <v>0</v>
      </c>
      <c r="J1005" s="13">
        <v>0</v>
      </c>
      <c r="K1005" s="14" t="str">
        <f t="shared" si="189"/>
        <v>Twitter for Android</v>
      </c>
      <c r="L1005" s="13">
        <v>20</v>
      </c>
      <c r="M1005" s="13">
        <v>177</v>
      </c>
      <c r="N1005" s="13">
        <v>0</v>
      </c>
      <c r="O1005" s="15"/>
      <c r="P1005" s="6">
        <v>43011.589618055557</v>
      </c>
      <c r="Q1005" s="18" t="s">
        <v>592</v>
      </c>
      <c r="R1005" s="17"/>
      <c r="S1005" s="11"/>
      <c r="T1005" s="11"/>
      <c r="U1005" s="10" t="str">
        <f>HYPERLINK("https://pbs.twimg.com/profile_images/915221582167134208/2VKD5oAK.jpg","View")</f>
        <v>View</v>
      </c>
    </row>
    <row r="1006" spans="1:21" ht="13.2">
      <c r="A1006" s="6">
        <v>43441.798263888893</v>
      </c>
      <c r="B1006" s="7" t="str">
        <f>HYPERLINK("https://twitter.com/VictoriAndres1","@VictoriAndres1")</f>
        <v>@VictoriAndres1</v>
      </c>
      <c r="C1006" s="8" t="s">
        <v>1318</v>
      </c>
      <c r="D1006" s="9" t="s">
        <v>5174</v>
      </c>
      <c r="E1006" s="10" t="str">
        <f>HYPERLINK("https://twitter.com/VictoriAndres1/status/1071104428978200576","1071104428978200576")</f>
        <v>1071104428978200576</v>
      </c>
      <c r="F1006" s="12" t="s">
        <v>5175</v>
      </c>
      <c r="G1006" s="11"/>
      <c r="H1006" s="11"/>
      <c r="I1006" s="13">
        <v>0</v>
      </c>
      <c r="J1006" s="13">
        <v>0</v>
      </c>
      <c r="K1006" s="14" t="str">
        <f>HYPERLINK("http://www.facebook.com/twitter","Facebook")</f>
        <v>Facebook</v>
      </c>
      <c r="L1006" s="13">
        <v>202</v>
      </c>
      <c r="M1006" s="13">
        <v>294</v>
      </c>
      <c r="N1006" s="13">
        <v>1</v>
      </c>
      <c r="O1006" s="15"/>
      <c r="P1006" s="6">
        <v>40992.421249999999</v>
      </c>
      <c r="Q1006" s="18" t="s">
        <v>307</v>
      </c>
      <c r="R1006" s="19" t="s">
        <v>1321</v>
      </c>
      <c r="S1006" s="12" t="s">
        <v>1322</v>
      </c>
      <c r="T1006" s="11"/>
      <c r="U1006" s="10" t="str">
        <f>HYPERLINK("https://pbs.twimg.com/profile_images/1018850373476454400/___hRpp7.jpg","View")</f>
        <v>View</v>
      </c>
    </row>
    <row r="1007" spans="1:21" ht="51">
      <c r="A1007" s="6">
        <v>43441.798217592594</v>
      </c>
      <c r="B1007" s="7" t="str">
        <f>HYPERLINK("https://twitter.com/MartaJota","@MartaJota")</f>
        <v>@MartaJota</v>
      </c>
      <c r="C1007" s="8" t="s">
        <v>1964</v>
      </c>
      <c r="D1007" s="9" t="s">
        <v>1965</v>
      </c>
      <c r="E1007" s="10" t="str">
        <f>HYPERLINK("https://twitter.com/MartaJota/status/1071104410330300416","1071104410330300416")</f>
        <v>1071104410330300416</v>
      </c>
      <c r="F1007" s="11"/>
      <c r="G1007" s="12" t="s">
        <v>1966</v>
      </c>
      <c r="H1007" s="11"/>
      <c r="I1007" s="13">
        <v>0</v>
      </c>
      <c r="J1007" s="13">
        <v>1</v>
      </c>
      <c r="K1007" s="14" t="str">
        <f>HYPERLINK("http://twitter.com/download/android","Twitter for Android")</f>
        <v>Twitter for Android</v>
      </c>
      <c r="L1007" s="13">
        <v>363</v>
      </c>
      <c r="M1007" s="13">
        <v>642</v>
      </c>
      <c r="N1007" s="13">
        <v>6</v>
      </c>
      <c r="O1007" s="15"/>
      <c r="P1007" s="6">
        <v>40279.014201388891</v>
      </c>
      <c r="Q1007" s="18" t="s">
        <v>173</v>
      </c>
      <c r="R1007" s="19" t="s">
        <v>1967</v>
      </c>
      <c r="S1007" s="11"/>
      <c r="T1007" s="11"/>
      <c r="U1007" s="10" t="str">
        <f>HYPERLINK("https://pbs.twimg.com/profile_images/613996449316081664/RqmLbdgY.jpg","View")</f>
        <v>View</v>
      </c>
    </row>
    <row r="1008" spans="1:21" ht="20.399999999999999">
      <c r="A1008" s="6">
        <v>43441.797164351854</v>
      </c>
      <c r="B1008" s="7" t="str">
        <f>HYPERLINK("https://twitter.com/joalep1972","@joalep1972")</f>
        <v>@joalep1972</v>
      </c>
      <c r="C1008" s="8" t="s">
        <v>5044</v>
      </c>
      <c r="D1008" s="9" t="s">
        <v>4760</v>
      </c>
      <c r="E1008" s="10" t="str">
        <f>HYPERLINK("https://twitter.com/joalep1972/status/1071104031047720966","1071104031047720966")</f>
        <v>1071104031047720966</v>
      </c>
      <c r="F1008" s="12" t="s">
        <v>5176</v>
      </c>
      <c r="G1008" s="11"/>
      <c r="H1008" s="11"/>
      <c r="I1008" s="13">
        <v>0</v>
      </c>
      <c r="J1008" s="13">
        <v>0</v>
      </c>
      <c r="K1008" s="14" t="str">
        <f>HYPERLINK("http://twitter.com","Twitter Web Client")</f>
        <v>Twitter Web Client</v>
      </c>
      <c r="L1008" s="13">
        <v>454</v>
      </c>
      <c r="M1008" s="13">
        <v>4364</v>
      </c>
      <c r="N1008" s="13">
        <v>0</v>
      </c>
      <c r="O1008" s="15"/>
      <c r="P1008" s="6">
        <v>43235.942337962959</v>
      </c>
      <c r="Q1008" s="18" t="s">
        <v>3906</v>
      </c>
      <c r="R1008" s="17"/>
      <c r="S1008" s="12" t="s">
        <v>5047</v>
      </c>
      <c r="T1008" s="11"/>
      <c r="U1008" s="10" t="str">
        <f>HYPERLINK("https://pbs.twimg.com/profile_images/996494728802775043/RNsbVmZZ.jpg","View")</f>
        <v>View</v>
      </c>
    </row>
    <row r="1009" spans="1:21" ht="51">
      <c r="A1009" s="6">
        <v>43441.796898148154</v>
      </c>
      <c r="B1009" s="7" t="str">
        <f>HYPERLINK("https://twitter.com/jaimeberenguer","@jaimeberenguer")</f>
        <v>@jaimeberenguer</v>
      </c>
      <c r="C1009" s="8" t="s">
        <v>1368</v>
      </c>
      <c r="D1009" s="9" t="s">
        <v>1968</v>
      </c>
      <c r="E1009" s="10" t="str">
        <f>HYPERLINK("https://twitter.com/jaimeberenguer/status/1071103934297718786","1071103934297718786")</f>
        <v>1071103934297718786</v>
      </c>
      <c r="F1009" s="11"/>
      <c r="G1009" s="11"/>
      <c r="H1009" s="11"/>
      <c r="I1009" s="13">
        <v>522</v>
      </c>
      <c r="J1009" s="13">
        <v>727</v>
      </c>
      <c r="K1009" s="14" t="str">
        <f>HYPERLINK("http://twitter.com/download/iphone","Twitter for iPhone")</f>
        <v>Twitter for iPhone</v>
      </c>
      <c r="L1009" s="13">
        <v>14564</v>
      </c>
      <c r="M1009" s="13">
        <v>2724</v>
      </c>
      <c r="N1009" s="13">
        <v>211</v>
      </c>
      <c r="O1009" s="15"/>
      <c r="P1009" s="6">
        <v>40040.424120370371</v>
      </c>
      <c r="Q1009" s="11"/>
      <c r="R1009" s="19" t="s">
        <v>1370</v>
      </c>
      <c r="S1009" s="11"/>
      <c r="T1009" s="11"/>
      <c r="U1009" s="10" t="str">
        <f>HYPERLINK("https://pbs.twimg.com/profile_images/1048222448372604936/LV72DRWb.jpg","View")</f>
        <v>View</v>
      </c>
    </row>
    <row r="1010" spans="1:21" ht="30.6">
      <c r="A1010" s="6">
        <v>43441.796805555554</v>
      </c>
      <c r="B1010" s="7" t="str">
        <f>HYPERLINK("https://twitter.com/CentralND","@CentralND")</f>
        <v>@CentralND</v>
      </c>
      <c r="C1010" s="8" t="s">
        <v>5180</v>
      </c>
      <c r="D1010" s="9" t="s">
        <v>5181</v>
      </c>
      <c r="E1010" s="10" t="str">
        <f>HYPERLINK("https://twitter.com/CentralND/status/1071103899476615170","1071103899476615170")</f>
        <v>1071103899476615170</v>
      </c>
      <c r="F1010" s="12" t="s">
        <v>5182</v>
      </c>
      <c r="G1010" s="12" t="s">
        <v>5183</v>
      </c>
      <c r="H1010" s="11"/>
      <c r="I1010" s="13">
        <v>0</v>
      </c>
      <c r="J1010" s="13">
        <v>0</v>
      </c>
      <c r="K1010" s="14" t="str">
        <f>HYPERLINK("http://twitter.com","Twitter Web Client")</f>
        <v>Twitter Web Client</v>
      </c>
      <c r="L1010" s="13">
        <v>702</v>
      </c>
      <c r="M1010" s="13">
        <v>50</v>
      </c>
      <c r="N1010" s="13">
        <v>23</v>
      </c>
      <c r="O1010" s="15"/>
      <c r="P1010" s="6">
        <v>42032.202418981484</v>
      </c>
      <c r="Q1010" s="11"/>
      <c r="R1010" s="19" t="s">
        <v>5184</v>
      </c>
      <c r="S1010" s="12" t="s">
        <v>5185</v>
      </c>
      <c r="T1010" s="11"/>
      <c r="U1010" s="10" t="str">
        <f>HYPERLINK("https://pbs.twimg.com/profile_images/960954020251648000/QW6_3yc6.jpg","View")</f>
        <v>View</v>
      </c>
    </row>
    <row r="1011" spans="1:21" ht="30.6">
      <c r="A1011" s="6">
        <v>43441.796527777777</v>
      </c>
      <c r="B1011" s="7" t="str">
        <f>HYPERLINK("https://twitter.com/ElHuffPost","@ElHuffPost")</f>
        <v>@ElHuffPost</v>
      </c>
      <c r="C1011" s="8" t="s">
        <v>517</v>
      </c>
      <c r="D1011" s="9" t="s">
        <v>5092</v>
      </c>
      <c r="E1011" s="10" t="str">
        <f>HYPERLINK("https://twitter.com/ElHuffPost/status/1071103798536327168","1071103798536327168")</f>
        <v>1071103798536327168</v>
      </c>
      <c r="F1011" s="12" t="s">
        <v>4808</v>
      </c>
      <c r="G1011" s="11"/>
      <c r="H1011" s="11"/>
      <c r="I1011" s="13">
        <v>4</v>
      </c>
      <c r="J1011" s="13">
        <v>7</v>
      </c>
      <c r="K1011" s="14" t="str">
        <f>HYPERLINK("https://about.twitter.com/products/tweetdeck","TweetDeck")</f>
        <v>TweetDeck</v>
      </c>
      <c r="L1011" s="13">
        <v>431181</v>
      </c>
      <c r="M1011" s="13">
        <v>1551</v>
      </c>
      <c r="N1011" s="13">
        <v>8205</v>
      </c>
      <c r="O1011" s="16" t="s">
        <v>25</v>
      </c>
      <c r="P1011" s="6">
        <v>40785.027118055557</v>
      </c>
      <c r="Q1011" s="18" t="s">
        <v>100</v>
      </c>
      <c r="R1011" s="19" t="s">
        <v>523</v>
      </c>
      <c r="S1011" s="12" t="s">
        <v>524</v>
      </c>
      <c r="T1011" s="11"/>
      <c r="U1011" s="10" t="str">
        <f>HYPERLINK("https://pbs.twimg.com/profile_images/921140803422089217/ETOEUOAx.jpg","View")</f>
        <v>View</v>
      </c>
    </row>
    <row r="1012" spans="1:21" ht="30.6">
      <c r="A1012" s="6">
        <v>43441.796423611115</v>
      </c>
      <c r="B1012" s="7" t="str">
        <f>HYPERLINK("https://twitter.com/AvoirDuBonSens","@AvoirDuBonSens")</f>
        <v>@AvoirDuBonSens</v>
      </c>
      <c r="C1012" s="8" t="s">
        <v>5186</v>
      </c>
      <c r="D1012" s="9" t="s">
        <v>5187</v>
      </c>
      <c r="E1012" s="10" t="str">
        <f>HYPERLINK("https://twitter.com/AvoirDuBonSens/status/1071103762356453377","1071103762356453377")</f>
        <v>1071103762356453377</v>
      </c>
      <c r="F1012" s="12" t="s">
        <v>5188</v>
      </c>
      <c r="G1012" s="11"/>
      <c r="H1012" s="11"/>
      <c r="I1012" s="13">
        <v>0</v>
      </c>
      <c r="J1012" s="13">
        <v>0</v>
      </c>
      <c r="K1012" s="14" t="str">
        <f t="shared" ref="K1012:K1013" si="190">HYPERLINK("http://twitter.com","Twitter Web Client")</f>
        <v>Twitter Web Client</v>
      </c>
      <c r="L1012" s="13">
        <v>139</v>
      </c>
      <c r="M1012" s="13">
        <v>240</v>
      </c>
      <c r="N1012" s="13">
        <v>0</v>
      </c>
      <c r="O1012" s="15"/>
      <c r="P1012" s="6">
        <v>41744.822430555556</v>
      </c>
      <c r="Q1012" s="11"/>
      <c r="R1012" s="19" t="s">
        <v>5189</v>
      </c>
      <c r="S1012" s="11"/>
      <c r="T1012" s="11"/>
      <c r="U1012" s="10" t="str">
        <f>HYPERLINK("https://pbs.twimg.com/profile_images/778119122853003264/tdpD7PAI.jpg","View")</f>
        <v>View</v>
      </c>
    </row>
    <row r="1013" spans="1:21" ht="61.2">
      <c r="A1013" s="6">
        <v>43441.795949074076</v>
      </c>
      <c r="B1013" s="7" t="str">
        <f>HYPERLINK("https://twitter.com/ElAngelFacha","@ElAngelFacha")</f>
        <v>@ElAngelFacha</v>
      </c>
      <c r="C1013" s="8" t="s">
        <v>1970</v>
      </c>
      <c r="D1013" s="9" t="s">
        <v>1971</v>
      </c>
      <c r="E1013" s="10" t="str">
        <f>HYPERLINK("https://twitter.com/ElAngelFacha/status/1071103591245639681","1071103591245639681")</f>
        <v>1071103591245639681</v>
      </c>
      <c r="F1013" s="11"/>
      <c r="G1013" s="12" t="s">
        <v>1972</v>
      </c>
      <c r="H1013" s="11"/>
      <c r="I1013" s="13">
        <v>91</v>
      </c>
      <c r="J1013" s="13">
        <v>73</v>
      </c>
      <c r="K1013" s="14" t="str">
        <f t="shared" si="190"/>
        <v>Twitter Web Client</v>
      </c>
      <c r="L1013" s="13">
        <v>1472</v>
      </c>
      <c r="M1013" s="13">
        <v>2059</v>
      </c>
      <c r="N1013" s="13">
        <v>4</v>
      </c>
      <c r="O1013" s="15"/>
      <c r="P1013" s="6">
        <v>42923.928784722222</v>
      </c>
      <c r="Q1013" s="18" t="s">
        <v>1973</v>
      </c>
      <c r="R1013" s="19" t="s">
        <v>1974</v>
      </c>
      <c r="S1013" s="11"/>
      <c r="T1013" s="11"/>
      <c r="U1013" s="10" t="str">
        <f>HYPERLINK("https://pbs.twimg.com/profile_images/1068670609935208450/c84QvuV4.jpg","View")</f>
        <v>View</v>
      </c>
    </row>
    <row r="1014" spans="1:21" ht="40.799999999999997">
      <c r="A1014" s="6">
        <v>43441.795613425929</v>
      </c>
      <c r="B1014" s="7" t="str">
        <f>HYPERLINK("https://twitter.com/FausAlberto","@FausAlberto")</f>
        <v>@FausAlberto</v>
      </c>
      <c r="C1014" s="8" t="s">
        <v>5192</v>
      </c>
      <c r="D1014" s="9" t="s">
        <v>5193</v>
      </c>
      <c r="E1014" s="10" t="str">
        <f>HYPERLINK("https://twitter.com/FausAlberto/status/1071103465718468608","1071103465718468608")</f>
        <v>1071103465718468608</v>
      </c>
      <c r="F1014" s="11"/>
      <c r="G1014" s="12" t="s">
        <v>5194</v>
      </c>
      <c r="H1014" s="11"/>
      <c r="I1014" s="13">
        <v>10</v>
      </c>
      <c r="J1014" s="13">
        <v>17</v>
      </c>
      <c r="K1014" s="14" t="str">
        <f>HYPERLINK("http://twitter.com/download/android","Twitter for Android")</f>
        <v>Twitter for Android</v>
      </c>
      <c r="L1014" s="13">
        <v>753</v>
      </c>
      <c r="M1014" s="13">
        <v>558</v>
      </c>
      <c r="N1014" s="13">
        <v>3</v>
      </c>
      <c r="O1014" s="15"/>
      <c r="P1014" s="6">
        <v>43268.415000000001</v>
      </c>
      <c r="Q1014" s="11"/>
      <c r="R1014" s="19" t="s">
        <v>5195</v>
      </c>
      <c r="S1014" s="11"/>
      <c r="T1014" s="11"/>
      <c r="U1014" s="10" t="str">
        <f>HYPERLINK("https://pbs.twimg.com/profile_images/1015099557162684416/D-iIiIz4.jpg","View")</f>
        <v>View</v>
      </c>
    </row>
    <row r="1015" spans="1:21" ht="40.799999999999997">
      <c r="A1015" s="6">
        <v>43441.795219907406</v>
      </c>
      <c r="B1015" s="7" t="str">
        <f>HYPERLINK("https://twitter.com/migupelo2","@migupelo2")</f>
        <v>@migupelo2</v>
      </c>
      <c r="C1015" s="8" t="s">
        <v>1976</v>
      </c>
      <c r="D1015" s="9" t="s">
        <v>1977</v>
      </c>
      <c r="E1015" s="10" t="str">
        <f>HYPERLINK("https://twitter.com/migupelo2/status/1071103326270431232","1071103326270431232")</f>
        <v>1071103326270431232</v>
      </c>
      <c r="F1015" s="12" t="s">
        <v>1979</v>
      </c>
      <c r="G1015" s="11"/>
      <c r="H1015" s="11"/>
      <c r="I1015" s="13">
        <v>0</v>
      </c>
      <c r="J1015" s="13">
        <v>0</v>
      </c>
      <c r="K1015" s="14" t="str">
        <f>HYPERLINK("http://twitter.com","Twitter Web Client")</f>
        <v>Twitter Web Client</v>
      </c>
      <c r="L1015" s="13">
        <v>266</v>
      </c>
      <c r="M1015" s="13">
        <v>771</v>
      </c>
      <c r="N1015" s="13">
        <v>18</v>
      </c>
      <c r="O1015" s="15"/>
      <c r="P1015" s="6">
        <v>40477.868043981478</v>
      </c>
      <c r="Q1015" s="11"/>
      <c r="R1015" s="19" t="s">
        <v>1980</v>
      </c>
      <c r="S1015" s="11"/>
      <c r="T1015" s="11"/>
      <c r="U1015" s="10" t="str">
        <f>HYPERLINK("https://pbs.twimg.com/profile_images/2906316440/4ed1570f50fd6f70f1b28d458997dd81.jpeg","View")</f>
        <v>View</v>
      </c>
    </row>
    <row r="1016" spans="1:21" ht="30.6">
      <c r="A1016" s="6">
        <v>43441.794548611113</v>
      </c>
      <c r="B1016" s="7" t="str">
        <f>HYPERLINK("https://twitter.com/CristoFeliz1","@CristoFeliz1")</f>
        <v>@CristoFeliz1</v>
      </c>
      <c r="C1016" s="8" t="s">
        <v>1307</v>
      </c>
      <c r="D1016" s="9" t="s">
        <v>834</v>
      </c>
      <c r="E1016" s="10" t="str">
        <f>HYPERLINK("https://twitter.com/CristoFeliz1/status/1071103081880870912","1071103081880870912")</f>
        <v>1071103081880870912</v>
      </c>
      <c r="F1016" s="12" t="s">
        <v>5196</v>
      </c>
      <c r="G1016" s="12" t="s">
        <v>5197</v>
      </c>
      <c r="H1016" s="11"/>
      <c r="I1016" s="13">
        <v>0</v>
      </c>
      <c r="J1016" s="13">
        <v>0</v>
      </c>
      <c r="K1016" s="14" t="str">
        <f>HYPERLINK("https://dlvrit.com/","dlvr.it")</f>
        <v>dlvr.it</v>
      </c>
      <c r="L1016" s="13">
        <v>7015</v>
      </c>
      <c r="M1016" s="13">
        <v>7733</v>
      </c>
      <c r="N1016" s="13">
        <v>561</v>
      </c>
      <c r="O1016" s="15"/>
      <c r="P1016" s="6">
        <v>41186.866469907407</v>
      </c>
      <c r="Q1016" s="18" t="s">
        <v>1312</v>
      </c>
      <c r="R1016" s="19" t="s">
        <v>1313</v>
      </c>
      <c r="S1016" s="11"/>
      <c r="T1016" s="11"/>
      <c r="U1016" s="10" t="str">
        <f>HYPERLINK("https://pbs.twimg.com/profile_images/1002564938911703040/1Wvxy6Jm.jpg","View")</f>
        <v>View</v>
      </c>
    </row>
    <row r="1017" spans="1:21" ht="20.399999999999999">
      <c r="A1017" s="6">
        <v>43441.79351851852</v>
      </c>
      <c r="B1017" s="7" t="str">
        <f>HYPERLINK("https://twitter.com/Sr_Langosto","@Sr_Langosto")</f>
        <v>@Sr_Langosto</v>
      </c>
      <c r="C1017" s="8" t="s">
        <v>1982</v>
      </c>
      <c r="D1017" s="9" t="s">
        <v>1983</v>
      </c>
      <c r="E1017" s="10" t="str">
        <f>HYPERLINK("https://twitter.com/Sr_Langosto/status/1071102707111526400","1071102707111526400")</f>
        <v>1071102707111526400</v>
      </c>
      <c r="F1017" s="11"/>
      <c r="G1017" s="12" t="s">
        <v>1986</v>
      </c>
      <c r="H1017" s="11"/>
      <c r="I1017" s="13">
        <v>0</v>
      </c>
      <c r="J1017" s="13">
        <v>0</v>
      </c>
      <c r="K1017" s="14" t="str">
        <f>HYPERLINK("http://twitter.com/download/android","Twitter for Android")</f>
        <v>Twitter for Android</v>
      </c>
      <c r="L1017" s="13">
        <v>49</v>
      </c>
      <c r="M1017" s="13">
        <v>221</v>
      </c>
      <c r="N1017" s="13">
        <v>0</v>
      </c>
      <c r="O1017" s="15"/>
      <c r="P1017" s="6">
        <v>43299.412037037036</v>
      </c>
      <c r="Q1017" s="11"/>
      <c r="R1017" s="17"/>
      <c r="S1017" s="11"/>
      <c r="T1017" s="11"/>
      <c r="U1017" s="10" t="str">
        <f>HYPERLINK("https://pbs.twimg.com/profile_images/1027547650156097537/I4AiKkRd.jpg","View")</f>
        <v>View</v>
      </c>
    </row>
    <row r="1018" spans="1:21" ht="20.399999999999999">
      <c r="A1018" s="6">
        <v>43441.793379629627</v>
      </c>
      <c r="B1018" s="7" t="str">
        <f>HYPERLINK("https://twitter.com/concepcionigle2","@concepcionigle2")</f>
        <v>@concepcionigle2</v>
      </c>
      <c r="C1018" s="8" t="s">
        <v>5199</v>
      </c>
      <c r="D1018" s="9" t="s">
        <v>813</v>
      </c>
      <c r="E1018" s="10" t="str">
        <f>HYPERLINK("https://twitter.com/concepcionigle2/status/1071102656561717249","1071102656561717249")</f>
        <v>1071102656561717249</v>
      </c>
      <c r="F1018" s="12" t="s">
        <v>815</v>
      </c>
      <c r="G1018" s="11"/>
      <c r="H1018" s="11"/>
      <c r="I1018" s="13">
        <v>0</v>
      </c>
      <c r="J1018" s="13">
        <v>0</v>
      </c>
      <c r="K1018" s="14" t="str">
        <f>HYPERLINK("http://twitter.com","Twitter Web Client")</f>
        <v>Twitter Web Client</v>
      </c>
      <c r="L1018" s="13">
        <v>4</v>
      </c>
      <c r="M1018" s="13">
        <v>19</v>
      </c>
      <c r="N1018" s="13">
        <v>0</v>
      </c>
      <c r="O1018" s="15"/>
      <c r="P1018" s="6">
        <v>41293.924780092595</v>
      </c>
      <c r="Q1018" s="11"/>
      <c r="R1018" s="17"/>
      <c r="S1018" s="11"/>
      <c r="T1018" s="11"/>
      <c r="U1018" s="16" t="s">
        <v>191</v>
      </c>
    </row>
    <row r="1019" spans="1:21" ht="40.799999999999997">
      <c r="A1019" s="6">
        <v>43441.792731481481</v>
      </c>
      <c r="B1019" s="7" t="str">
        <f>HYPERLINK("https://twitter.com/PodemosParla2Tw","@PodemosParla2Tw")</f>
        <v>@PodemosParla2Tw</v>
      </c>
      <c r="C1019" s="8" t="s">
        <v>1992</v>
      </c>
      <c r="D1019" s="9" t="s">
        <v>1993</v>
      </c>
      <c r="E1019" s="10" t="str">
        <f>HYPERLINK("https://twitter.com/PodemosParla2Tw/status/1071102422301458432","1071102422301458432")</f>
        <v>1071102422301458432</v>
      </c>
      <c r="F1019" s="11"/>
      <c r="G1019" s="12" t="s">
        <v>1994</v>
      </c>
      <c r="H1019" s="11"/>
      <c r="I1019" s="13">
        <v>1</v>
      </c>
      <c r="J1019" s="13">
        <v>1</v>
      </c>
      <c r="K1019" s="14" t="str">
        <f>HYPERLINK("https://buffer.com","Buffer")</f>
        <v>Buffer</v>
      </c>
      <c r="L1019" s="13">
        <v>877</v>
      </c>
      <c r="M1019" s="13">
        <v>1076</v>
      </c>
      <c r="N1019" s="13">
        <v>12</v>
      </c>
      <c r="O1019" s="15"/>
      <c r="P1019" s="6">
        <v>42311.893020833333</v>
      </c>
      <c r="Q1019" s="18" t="s">
        <v>1995</v>
      </c>
      <c r="R1019" s="19" t="s">
        <v>1996</v>
      </c>
      <c r="S1019" s="12" t="s">
        <v>1997</v>
      </c>
      <c r="T1019" s="11"/>
      <c r="U1019" s="10" t="str">
        <f>HYPERLINK("https://pbs.twimg.com/profile_images/1012456597115850752/7fJqeRBF.jpg","View")</f>
        <v>View</v>
      </c>
    </row>
    <row r="1020" spans="1:21" ht="20.399999999999999">
      <c r="A1020" s="6">
        <v>43441.792337962965</v>
      </c>
      <c r="B1020" s="7" t="str">
        <f>HYPERLINK("https://twitter.com/adolfobenitezr3","@adolfobenitezr3")</f>
        <v>@adolfobenitezr3</v>
      </c>
      <c r="C1020" s="8" t="s">
        <v>5200</v>
      </c>
      <c r="D1020" s="9" t="s">
        <v>5201</v>
      </c>
      <c r="E1020" s="10" t="str">
        <f>HYPERLINK("https://twitter.com/adolfobenitezr3/status/1071102282685657088","1071102282685657088")</f>
        <v>1071102282685657088</v>
      </c>
      <c r="F1020" s="12" t="s">
        <v>5202</v>
      </c>
      <c r="G1020" s="11"/>
      <c r="H1020" s="11"/>
      <c r="I1020" s="13">
        <v>0</v>
      </c>
      <c r="J1020" s="13">
        <v>0</v>
      </c>
      <c r="K1020" s="14" t="str">
        <f>HYPERLINK("http://twitter.com","Twitter Web Client")</f>
        <v>Twitter Web Client</v>
      </c>
      <c r="L1020" s="13">
        <v>3</v>
      </c>
      <c r="M1020" s="13">
        <v>172</v>
      </c>
      <c r="N1020" s="13">
        <v>0</v>
      </c>
      <c r="O1020" s="15"/>
      <c r="P1020" s="6">
        <v>42909.74150462963</v>
      </c>
      <c r="Q1020" s="18" t="s">
        <v>3019</v>
      </c>
      <c r="R1020" s="19" t="s">
        <v>5203</v>
      </c>
      <c r="S1020" s="11"/>
      <c r="T1020" s="11"/>
      <c r="U1020" s="16" t="s">
        <v>191</v>
      </c>
    </row>
    <row r="1021" spans="1:21" ht="20.399999999999999">
      <c r="A1021" s="6">
        <v>43441.792083333334</v>
      </c>
      <c r="B1021" s="7" t="str">
        <f>HYPERLINK("https://twitter.com/joseteraton19","@joseteraton19")</f>
        <v>@joseteraton19</v>
      </c>
      <c r="C1021" s="8" t="s">
        <v>5204</v>
      </c>
      <c r="D1021" s="9" t="s">
        <v>5205</v>
      </c>
      <c r="E1021" s="10" t="str">
        <f>HYPERLINK("https://twitter.com/joseteraton19/status/1071102190540988416","1071102190540988416")</f>
        <v>1071102190540988416</v>
      </c>
      <c r="F1021" s="11"/>
      <c r="G1021" s="11"/>
      <c r="H1021" s="11"/>
      <c r="I1021" s="13">
        <v>0</v>
      </c>
      <c r="J1021" s="13">
        <v>2</v>
      </c>
      <c r="K1021" s="14" t="str">
        <f>HYPERLINK("http://twitter.com/download/android","Twitter for Android")</f>
        <v>Twitter for Android</v>
      </c>
      <c r="L1021" s="13">
        <v>996</v>
      </c>
      <c r="M1021" s="13">
        <v>142</v>
      </c>
      <c r="N1021" s="13">
        <v>9</v>
      </c>
      <c r="O1021" s="15"/>
      <c r="P1021" s="6">
        <v>41269.959016203706</v>
      </c>
      <c r="Q1021" s="18" t="s">
        <v>5206</v>
      </c>
      <c r="R1021" s="19" t="s">
        <v>5207</v>
      </c>
      <c r="S1021" s="12" t="s">
        <v>5208</v>
      </c>
      <c r="T1021" s="11"/>
      <c r="U1021" s="10" t="str">
        <f>HYPERLINK("https://pbs.twimg.com/profile_images/709417736733122560/spOb_lvV.jpg","View")</f>
        <v>View</v>
      </c>
    </row>
    <row r="1022" spans="1:21" ht="30.6">
      <c r="A1022" s="6">
        <v>43441.791087962964</v>
      </c>
      <c r="B1022" s="7" t="str">
        <f>HYPERLINK("https://twitter.com/negativo_stats","@negativo_stats")</f>
        <v>@negativo_stats</v>
      </c>
      <c r="C1022" s="8" t="s">
        <v>176</v>
      </c>
      <c r="D1022" s="9" t="s">
        <v>2000</v>
      </c>
      <c r="E1022" s="10" t="str">
        <f>HYPERLINK("https://twitter.com/negativo_stats/status/1071101827243012097","1071101827243012097")</f>
        <v>1071101827243012097</v>
      </c>
      <c r="F1022" s="11"/>
      <c r="G1022" s="12" t="s">
        <v>2003</v>
      </c>
      <c r="H1022" s="11"/>
      <c r="I1022" s="13">
        <v>0</v>
      </c>
      <c r="J1022" s="13">
        <v>0</v>
      </c>
      <c r="K1022" s="14" t="str">
        <f>HYPERLINK("http://kosmonautica.es","Política Negativa")</f>
        <v>Política Negativa</v>
      </c>
      <c r="L1022" s="13">
        <v>268</v>
      </c>
      <c r="M1022" s="13">
        <v>788</v>
      </c>
      <c r="N1022" s="13">
        <v>2</v>
      </c>
      <c r="O1022" s="15"/>
      <c r="P1022" s="6">
        <v>42171.770601851851</v>
      </c>
      <c r="Q1022" s="18" t="s">
        <v>41</v>
      </c>
      <c r="R1022" s="19" t="s">
        <v>182</v>
      </c>
      <c r="S1022" s="11"/>
      <c r="T1022" s="11"/>
      <c r="U1022" s="10" t="str">
        <f>HYPERLINK("https://pbs.twimg.com/profile_images/628553625984438272/e-VHyhP1.png","View")</f>
        <v>View</v>
      </c>
    </row>
    <row r="1023" spans="1:21" ht="20.399999999999999">
      <c r="A1023" s="6">
        <v>43441.790439814809</v>
      </c>
      <c r="B1023" s="7" t="str">
        <f>HYPERLINK("https://twitter.com/naxcat","@naxcat")</f>
        <v>@naxcat</v>
      </c>
      <c r="C1023" s="8" t="s">
        <v>5209</v>
      </c>
      <c r="D1023" s="9" t="s">
        <v>5210</v>
      </c>
      <c r="E1023" s="10" t="str">
        <f>HYPERLINK("https://twitter.com/naxcat/status/1071101590877233153","1071101590877233153")</f>
        <v>1071101590877233153</v>
      </c>
      <c r="F1023" s="12" t="s">
        <v>815</v>
      </c>
      <c r="G1023" s="11"/>
      <c r="H1023" s="11"/>
      <c r="I1023" s="13">
        <v>0</v>
      </c>
      <c r="J1023" s="13">
        <v>0</v>
      </c>
      <c r="K1023" s="14" t="str">
        <f>HYPERLINK("http://twitter.com","Twitter Web Client")</f>
        <v>Twitter Web Client</v>
      </c>
      <c r="L1023" s="13">
        <v>374</v>
      </c>
      <c r="M1023" s="13">
        <v>1042</v>
      </c>
      <c r="N1023" s="13">
        <v>3</v>
      </c>
      <c r="O1023" s="15"/>
      <c r="P1023" s="6">
        <v>40583.919293981482</v>
      </c>
      <c r="Q1023" s="18" t="s">
        <v>5211</v>
      </c>
      <c r="R1023" s="19" t="s">
        <v>5212</v>
      </c>
      <c r="S1023" s="11"/>
      <c r="T1023" s="11"/>
      <c r="U1023" s="10" t="str">
        <f>HYPERLINK("https://pbs.twimg.com/profile_images/722560638996869120/XpPOAUGl.jpg","View")</f>
        <v>View</v>
      </c>
    </row>
    <row r="1024" spans="1:21" ht="30.6">
      <c r="A1024" s="6">
        <v>43441.789861111116</v>
      </c>
      <c r="B1024" s="7" t="str">
        <f>HYPERLINK("https://twitter.com/ElHuffPost","@ElHuffPost")</f>
        <v>@ElHuffPost</v>
      </c>
      <c r="C1024" s="8" t="s">
        <v>517</v>
      </c>
      <c r="D1024" s="9" t="s">
        <v>834</v>
      </c>
      <c r="E1024" s="10" t="str">
        <f>HYPERLINK("https://twitter.com/ElHuffPost/status/1071101382097281025","1071101382097281025")</f>
        <v>1071101382097281025</v>
      </c>
      <c r="F1024" s="12" t="s">
        <v>4808</v>
      </c>
      <c r="G1024" s="11"/>
      <c r="H1024" s="11"/>
      <c r="I1024" s="13">
        <v>5</v>
      </c>
      <c r="J1024" s="13">
        <v>19</v>
      </c>
      <c r="K1024" s="14" t="str">
        <f>HYPERLINK("https://about.twitter.com/products/tweetdeck","TweetDeck")</f>
        <v>TweetDeck</v>
      </c>
      <c r="L1024" s="13">
        <v>431181</v>
      </c>
      <c r="M1024" s="13">
        <v>1551</v>
      </c>
      <c r="N1024" s="13">
        <v>8205</v>
      </c>
      <c r="O1024" s="16" t="s">
        <v>25</v>
      </c>
      <c r="P1024" s="6">
        <v>40785.027118055557</v>
      </c>
      <c r="Q1024" s="18" t="s">
        <v>100</v>
      </c>
      <c r="R1024" s="19" t="s">
        <v>523</v>
      </c>
      <c r="S1024" s="12" t="s">
        <v>524</v>
      </c>
      <c r="T1024" s="11"/>
      <c r="U1024" s="10" t="str">
        <f>HYPERLINK("https://pbs.twimg.com/profile_images/921140803422089217/ETOEUOAx.jpg","View")</f>
        <v>View</v>
      </c>
    </row>
    <row r="1025" spans="1:21" ht="20.399999999999999">
      <c r="A1025" s="6">
        <v>43441.789733796293</v>
      </c>
      <c r="B1025" s="7" t="str">
        <f>HYPERLINK("https://twitter.com/naxcat","@naxcat")</f>
        <v>@naxcat</v>
      </c>
      <c r="C1025" s="8" t="s">
        <v>5209</v>
      </c>
      <c r="D1025" s="9" t="s">
        <v>5213</v>
      </c>
      <c r="E1025" s="10" t="str">
        <f>HYPERLINK("https://twitter.com/naxcat/status/1071101336702345216","1071101336702345216")</f>
        <v>1071101336702345216</v>
      </c>
      <c r="F1025" s="12" t="s">
        <v>815</v>
      </c>
      <c r="G1025" s="11"/>
      <c r="H1025" s="11"/>
      <c r="I1025" s="13">
        <v>0</v>
      </c>
      <c r="J1025" s="13">
        <v>0</v>
      </c>
      <c r="K1025" s="14" t="str">
        <f>HYPERLINK("http://twitter.com","Twitter Web Client")</f>
        <v>Twitter Web Client</v>
      </c>
      <c r="L1025" s="13">
        <v>374</v>
      </c>
      <c r="M1025" s="13">
        <v>1042</v>
      </c>
      <c r="N1025" s="13">
        <v>3</v>
      </c>
      <c r="O1025" s="15"/>
      <c r="P1025" s="6">
        <v>40583.919293981482</v>
      </c>
      <c r="Q1025" s="18" t="s">
        <v>5211</v>
      </c>
      <c r="R1025" s="19" t="s">
        <v>5212</v>
      </c>
      <c r="S1025" s="11"/>
      <c r="T1025" s="11"/>
      <c r="U1025" s="10" t="str">
        <f>HYPERLINK("https://pbs.twimg.com/profile_images/722560638996869120/XpPOAUGl.jpg","View")</f>
        <v>View</v>
      </c>
    </row>
    <row r="1026" spans="1:21" ht="51">
      <c r="A1026" s="6">
        <v>43441.789386574077</v>
      </c>
      <c r="B1026" s="7" t="str">
        <f>HYPERLINK("https://twitter.com/verolozman66","@verolozman66")</f>
        <v>@verolozman66</v>
      </c>
      <c r="C1026" s="8" t="s">
        <v>154</v>
      </c>
      <c r="D1026" s="9" t="s">
        <v>2004</v>
      </c>
      <c r="E1026" s="10" t="str">
        <f>HYPERLINK("https://twitter.com/verolozman66/status/1071101209979904000","1071101209979904000")</f>
        <v>1071101209979904000</v>
      </c>
      <c r="F1026" s="18" t="s">
        <v>2007</v>
      </c>
      <c r="G1026" s="12" t="s">
        <v>2008</v>
      </c>
      <c r="H1026" s="11"/>
      <c r="I1026" s="13">
        <v>0</v>
      </c>
      <c r="J1026" s="13">
        <v>0</v>
      </c>
      <c r="K1026" s="14" t="str">
        <f>HYPERLINK("http://twitter.com/download/android","Twitter for Android")</f>
        <v>Twitter for Android</v>
      </c>
      <c r="L1026" s="13">
        <v>736</v>
      </c>
      <c r="M1026" s="13">
        <v>648</v>
      </c>
      <c r="N1026" s="13">
        <v>62</v>
      </c>
      <c r="O1026" s="15"/>
      <c r="P1026" s="6">
        <v>42345.069062499999</v>
      </c>
      <c r="Q1026" s="11"/>
      <c r="R1026" s="19" t="s">
        <v>159</v>
      </c>
      <c r="S1026" s="11"/>
      <c r="T1026" s="11"/>
      <c r="U1026" s="10" t="str">
        <f>HYPERLINK("https://pbs.twimg.com/profile_images/963758501209300993/aVfqUi73.jpg","View")</f>
        <v>View</v>
      </c>
    </row>
    <row r="1027" spans="1:21" ht="51">
      <c r="A1027" s="6">
        <v>43441.788611111115</v>
      </c>
      <c r="B1027" s="7" t="str">
        <f>HYPERLINK("https://twitter.com/libertadzarautz","@libertadzarautz")</f>
        <v>@libertadzarautz</v>
      </c>
      <c r="C1027" s="8" t="s">
        <v>2013</v>
      </c>
      <c r="D1027" s="9" t="s">
        <v>2015</v>
      </c>
      <c r="E1027" s="10" t="str">
        <f>HYPERLINK("https://twitter.com/libertadzarautz/status/1071100928990818307","1071100928990818307")</f>
        <v>1071100928990818307</v>
      </c>
      <c r="F1027" s="12" t="s">
        <v>2016</v>
      </c>
      <c r="G1027" s="11"/>
      <c r="H1027" s="11"/>
      <c r="I1027" s="13">
        <v>1</v>
      </c>
      <c r="J1027" s="13">
        <v>0</v>
      </c>
      <c r="K1027" s="14" t="str">
        <f>HYPERLINK("http://twitter.com/download/iphone","Twitter for iPhone")</f>
        <v>Twitter for iPhone</v>
      </c>
      <c r="L1027" s="13">
        <v>1287</v>
      </c>
      <c r="M1027" s="13">
        <v>1202</v>
      </c>
      <c r="N1027" s="13">
        <v>17</v>
      </c>
      <c r="O1027" s="15"/>
      <c r="P1027" s="6">
        <v>40691.56177083333</v>
      </c>
      <c r="Q1027" s="18" t="s">
        <v>2018</v>
      </c>
      <c r="R1027" s="19" t="s">
        <v>2019</v>
      </c>
      <c r="S1027" s="11"/>
      <c r="T1027" s="11"/>
      <c r="U1027" s="10" t="str">
        <f>HYPERLINK("https://pbs.twimg.com/profile_images/1051022264689397761/rTrrRTpx.jpg","View")</f>
        <v>View</v>
      </c>
    </row>
    <row r="1028" spans="1:21" ht="30.6">
      <c r="A1028" s="6">
        <v>43441.788518518515</v>
      </c>
      <c r="B1028" s="7" t="str">
        <f>HYPERLINK("https://twitter.com/Arena18858359","@Arena18858359")</f>
        <v>@Arena18858359</v>
      </c>
      <c r="C1028" s="8" t="s">
        <v>5132</v>
      </c>
      <c r="D1028" s="9" t="s">
        <v>5214</v>
      </c>
      <c r="E1028" s="10" t="str">
        <f>HYPERLINK("https://twitter.com/Arena18858359/status/1071100898154291200","1071100898154291200")</f>
        <v>1071100898154291200</v>
      </c>
      <c r="F1028" s="12" t="s">
        <v>3011</v>
      </c>
      <c r="G1028" s="11"/>
      <c r="H1028" s="11"/>
      <c r="I1028" s="13">
        <v>0</v>
      </c>
      <c r="J1028" s="13">
        <v>2</v>
      </c>
      <c r="K1028" s="14" t="str">
        <f>HYPERLINK("http://twitter.com","Twitter Web Client")</f>
        <v>Twitter Web Client</v>
      </c>
      <c r="L1028" s="13">
        <v>755</v>
      </c>
      <c r="M1028" s="13">
        <v>1525</v>
      </c>
      <c r="N1028" s="13">
        <v>1</v>
      </c>
      <c r="O1028" s="15"/>
      <c r="P1028" s="6">
        <v>43350.452592592592</v>
      </c>
      <c r="Q1028" s="18" t="s">
        <v>42</v>
      </c>
      <c r="R1028" s="19" t="s">
        <v>5135</v>
      </c>
      <c r="S1028" s="11"/>
      <c r="T1028" s="11"/>
      <c r="U1028" s="10" t="str">
        <f>HYPERLINK("https://pbs.twimg.com/profile_images/1039634742386274304/Qn8VC5bf.jpg","View")</f>
        <v>View</v>
      </c>
    </row>
    <row r="1029" spans="1:21" ht="51">
      <c r="A1029" s="6">
        <v>43441.788078703699</v>
      </c>
      <c r="B1029" s="7" t="str">
        <f>HYPERLINK("https://twitter.com/CarlosDPonciano","@CarlosDPonciano")</f>
        <v>@CarlosDPonciano</v>
      </c>
      <c r="C1029" s="8" t="s">
        <v>2021</v>
      </c>
      <c r="D1029" s="9" t="s">
        <v>2022</v>
      </c>
      <c r="E1029" s="10" t="str">
        <f>HYPERLINK("https://twitter.com/CarlosDPonciano/status/1071100735872471041","1071100735872471041")</f>
        <v>1071100735872471041</v>
      </c>
      <c r="F1029" s="12" t="s">
        <v>2025</v>
      </c>
      <c r="G1029" s="11"/>
      <c r="H1029" s="11"/>
      <c r="I1029" s="13">
        <v>5</v>
      </c>
      <c r="J1029" s="13">
        <v>4</v>
      </c>
      <c r="K1029" s="14" t="str">
        <f>HYPERLINK("http://twitter.com/download/android","Twitter for Android")</f>
        <v>Twitter for Android</v>
      </c>
      <c r="L1029" s="13">
        <v>2662</v>
      </c>
      <c r="M1029" s="13">
        <v>5001</v>
      </c>
      <c r="N1029" s="13">
        <v>92</v>
      </c>
      <c r="O1029" s="15"/>
      <c r="P1029" s="6">
        <v>40897.574502314819</v>
      </c>
      <c r="Q1029" s="18" t="s">
        <v>973</v>
      </c>
      <c r="R1029" s="19" t="s">
        <v>2029</v>
      </c>
      <c r="S1029" s="12" t="s">
        <v>2030</v>
      </c>
      <c r="T1029" s="11"/>
      <c r="U1029" s="10" t="str">
        <f>HYPERLINK("https://pbs.twimg.com/profile_images/1704060778/314681_107875735988789_100002990903806_62382_992605744_n_1_.jpg","View")</f>
        <v>View</v>
      </c>
    </row>
    <row r="1030" spans="1:21" ht="20.399999999999999">
      <c r="A1030" s="6">
        <v>43441.787685185191</v>
      </c>
      <c r="B1030" s="7" t="str">
        <f>HYPERLINK("https://twitter.com/naxcat","@naxcat")</f>
        <v>@naxcat</v>
      </c>
      <c r="C1030" s="8" t="s">
        <v>5209</v>
      </c>
      <c r="D1030" s="9" t="s">
        <v>5215</v>
      </c>
      <c r="E1030" s="10" t="str">
        <f>HYPERLINK("https://twitter.com/naxcat/status/1071100595661082624","1071100595661082624")</f>
        <v>1071100595661082624</v>
      </c>
      <c r="F1030" s="12" t="s">
        <v>815</v>
      </c>
      <c r="G1030" s="11"/>
      <c r="H1030" s="11"/>
      <c r="I1030" s="13">
        <v>0</v>
      </c>
      <c r="J1030" s="13">
        <v>0</v>
      </c>
      <c r="K1030" s="14" t="str">
        <f>HYPERLINK("http://twitter.com","Twitter Web Client")</f>
        <v>Twitter Web Client</v>
      </c>
      <c r="L1030" s="13">
        <v>374</v>
      </c>
      <c r="M1030" s="13">
        <v>1042</v>
      </c>
      <c r="N1030" s="13">
        <v>3</v>
      </c>
      <c r="O1030" s="15"/>
      <c r="P1030" s="6">
        <v>40583.919293981482</v>
      </c>
      <c r="Q1030" s="18" t="s">
        <v>5211</v>
      </c>
      <c r="R1030" s="19" t="s">
        <v>5212</v>
      </c>
      <c r="S1030" s="11"/>
      <c r="T1030" s="11"/>
      <c r="U1030" s="10" t="str">
        <f>HYPERLINK("https://pbs.twimg.com/profile_images/722560638996869120/XpPOAUGl.jpg","View")</f>
        <v>View</v>
      </c>
    </row>
    <row r="1031" spans="1:21" ht="91.8">
      <c r="A1031" s="6">
        <v>43441.787129629629</v>
      </c>
      <c r="B1031" s="7" t="str">
        <f>HYPERLINK("https://twitter.com/Panik81","@Panik81")</f>
        <v>@Panik81</v>
      </c>
      <c r="C1031" s="8" t="s">
        <v>5216</v>
      </c>
      <c r="D1031" s="9" t="s">
        <v>5217</v>
      </c>
      <c r="E1031" s="10" t="str">
        <f>HYPERLINK("https://twitter.com/Panik81/status/1071100392342216705","1071100392342216705")</f>
        <v>1071100392342216705</v>
      </c>
      <c r="F1031" s="12" t="s">
        <v>5218</v>
      </c>
      <c r="G1031" s="11"/>
      <c r="H1031" s="11"/>
      <c r="I1031" s="13">
        <v>33</v>
      </c>
      <c r="J1031" s="13">
        <v>73</v>
      </c>
      <c r="K1031" s="14" t="str">
        <f>HYPERLINK("http://twitter.com/download/android","Twitter for Android")</f>
        <v>Twitter for Android</v>
      </c>
      <c r="L1031" s="13">
        <v>12963</v>
      </c>
      <c r="M1031" s="13">
        <v>1545</v>
      </c>
      <c r="N1031" s="13">
        <v>112</v>
      </c>
      <c r="O1031" s="15"/>
      <c r="P1031" s="6">
        <v>40910.592569444445</v>
      </c>
      <c r="Q1031" s="11"/>
      <c r="R1031" s="19" t="s">
        <v>5219</v>
      </c>
      <c r="S1031" s="11"/>
      <c r="T1031" s="11"/>
      <c r="U1031" s="10" t="str">
        <f>HYPERLINK("https://pbs.twimg.com/profile_images/765530824049655808/6PS-97m7.jpg","View")</f>
        <v>View</v>
      </c>
    </row>
    <row r="1032" spans="1:21" ht="30.6">
      <c r="A1032" s="6">
        <v>43441.787048611106</v>
      </c>
      <c r="B1032" s="7" t="str">
        <f>HYPERLINK("https://twitter.com/terronesmen","@terronesmen")</f>
        <v>@terronesmen</v>
      </c>
      <c r="C1032" s="8" t="s">
        <v>5220</v>
      </c>
      <c r="D1032" s="9" t="s">
        <v>5221</v>
      </c>
      <c r="E1032" s="10" t="str">
        <f>HYPERLINK("https://twitter.com/terronesmen/status/1071100363036614657","1071100363036614657")</f>
        <v>1071100363036614657</v>
      </c>
      <c r="F1032" s="12" t="s">
        <v>1051</v>
      </c>
      <c r="G1032" s="11"/>
      <c r="H1032" s="11"/>
      <c r="I1032" s="13">
        <v>0</v>
      </c>
      <c r="J1032" s="13">
        <v>1</v>
      </c>
      <c r="K1032" s="14" t="str">
        <f>HYPERLINK("http://www.facebook.com/twitter","Facebook")</f>
        <v>Facebook</v>
      </c>
      <c r="L1032" s="13">
        <v>55</v>
      </c>
      <c r="M1032" s="13">
        <v>23</v>
      </c>
      <c r="N1032" s="13">
        <v>1</v>
      </c>
      <c r="O1032" s="15"/>
      <c r="P1032" s="6">
        <v>39399.802245370374</v>
      </c>
      <c r="Q1032" s="11"/>
      <c r="R1032" s="17"/>
      <c r="S1032" s="11"/>
      <c r="T1032" s="11"/>
      <c r="U1032" s="10" t="str">
        <f>HYPERLINK("https://pbs.twimg.com/profile_images/1781528857/IMG00003-20120109-1209.jpg","View")</f>
        <v>View</v>
      </c>
    </row>
    <row r="1033" spans="1:21" ht="30.6">
      <c r="A1033" s="6">
        <v>43441.786979166667</v>
      </c>
      <c r="B1033" s="7" t="str">
        <f>HYPERLINK("https://twitter.com/d_ithaca","@d_ithaca")</f>
        <v>@d_ithaca</v>
      </c>
      <c r="C1033" s="8" t="s">
        <v>5222</v>
      </c>
      <c r="D1033" s="9" t="s">
        <v>137</v>
      </c>
      <c r="E1033" s="10" t="str">
        <f>HYPERLINK("https://twitter.com/d_ithaca/status/1071100337120006144","1071100337120006144")</f>
        <v>1071100337120006144</v>
      </c>
      <c r="F1033" s="12" t="s">
        <v>5223</v>
      </c>
      <c r="G1033" s="11"/>
      <c r="H1033" s="11"/>
      <c r="I1033" s="13">
        <v>0</v>
      </c>
      <c r="J1033" s="13">
        <v>0</v>
      </c>
      <c r="K1033" s="14" t="str">
        <f>HYPERLINK("http://twitter.com/download/android","Twitter for Android")</f>
        <v>Twitter for Android</v>
      </c>
      <c r="L1033" s="13">
        <v>174</v>
      </c>
      <c r="M1033" s="13">
        <v>142</v>
      </c>
      <c r="N1033" s="13">
        <v>4</v>
      </c>
      <c r="O1033" s="15"/>
      <c r="P1033" s="6">
        <v>40729.566782407404</v>
      </c>
      <c r="Q1033" s="18" t="s">
        <v>307</v>
      </c>
      <c r="R1033" s="19" t="s">
        <v>5224</v>
      </c>
      <c r="S1033" s="11"/>
      <c r="T1033" s="11"/>
      <c r="U1033" s="10" t="str">
        <f>HYPERLINK("https://pbs.twimg.com/profile_images/3609074404/b6db7ccc84f328f79e798ec3d97ac4de.jpeg","View")</f>
        <v>View</v>
      </c>
    </row>
    <row r="1034" spans="1:21" ht="20.399999999999999">
      <c r="A1034" s="6">
        <v>43441.78696759259</v>
      </c>
      <c r="B1034" s="7" t="str">
        <f>HYPERLINK("https://twitter.com/RubnBalsera","@RubnBalsera")</f>
        <v>@RubnBalsera</v>
      </c>
      <c r="C1034" s="8" t="s">
        <v>5225</v>
      </c>
      <c r="D1034" s="9" t="s">
        <v>5226</v>
      </c>
      <c r="E1034" s="10" t="str">
        <f>HYPERLINK("https://twitter.com/RubnBalsera/status/1071100332850188288","1071100332850188288")</f>
        <v>1071100332850188288</v>
      </c>
      <c r="F1034" s="12" t="s">
        <v>5227</v>
      </c>
      <c r="G1034" s="11"/>
      <c r="H1034" s="11"/>
      <c r="I1034" s="13">
        <v>0</v>
      </c>
      <c r="J1034" s="13">
        <v>0</v>
      </c>
      <c r="K1034" s="14" t="str">
        <f>HYPERLINK("https://www.google.com/","Google")</f>
        <v>Google</v>
      </c>
      <c r="L1034" s="13">
        <v>42</v>
      </c>
      <c r="M1034" s="13">
        <v>37</v>
      </c>
      <c r="N1034" s="13">
        <v>0</v>
      </c>
      <c r="O1034" s="15"/>
      <c r="P1034" s="6">
        <v>40655.644675925927</v>
      </c>
      <c r="Q1034" s="18" t="s">
        <v>307</v>
      </c>
      <c r="R1034" s="19" t="s">
        <v>5228</v>
      </c>
      <c r="S1034" s="12" t="s">
        <v>5229</v>
      </c>
      <c r="T1034" s="11"/>
      <c r="U1034" s="10" t="str">
        <f>HYPERLINK("https://pbs.twimg.com/profile_images/2535589240/mjtsj7mdxfqt9odkym3s.jpeg","View")</f>
        <v>View</v>
      </c>
    </row>
    <row r="1035" spans="1:21" ht="40.799999999999997">
      <c r="A1035" s="6">
        <v>43441.78638888889</v>
      </c>
      <c r="B1035" s="7" t="str">
        <f>HYPERLINK("https://twitter.com/josegabriel467","@josegabriel467")</f>
        <v>@josegabriel467</v>
      </c>
      <c r="C1035" s="8" t="s">
        <v>5230</v>
      </c>
      <c r="D1035" s="9" t="s">
        <v>5231</v>
      </c>
      <c r="E1035" s="10" t="str">
        <f>HYPERLINK("https://twitter.com/josegabriel467/status/1071100125110591491","1071100125110591491")</f>
        <v>1071100125110591491</v>
      </c>
      <c r="F1035" s="12" t="s">
        <v>5232</v>
      </c>
      <c r="G1035" s="11"/>
      <c r="H1035" s="11"/>
      <c r="I1035" s="13">
        <v>1</v>
      </c>
      <c r="J1035" s="13">
        <v>0</v>
      </c>
      <c r="K1035" s="14" t="str">
        <f>HYPERLINK("http://www.facebook.com/twitter","Facebook")</f>
        <v>Facebook</v>
      </c>
      <c r="L1035" s="13">
        <v>1624</v>
      </c>
      <c r="M1035" s="13">
        <v>1614</v>
      </c>
      <c r="N1035" s="13">
        <v>23</v>
      </c>
      <c r="O1035" s="15"/>
      <c r="P1035" s="6">
        <v>40844.535150462965</v>
      </c>
      <c r="Q1035" s="18" t="s">
        <v>42</v>
      </c>
      <c r="R1035" s="19" t="s">
        <v>5233</v>
      </c>
      <c r="S1035" s="12" t="s">
        <v>5234</v>
      </c>
      <c r="T1035" s="11"/>
      <c r="U1035" s="10" t="str">
        <f>HYPERLINK("https://pbs.twimg.com/profile_images/864586721966436354/WwV_o0gL.jpg","View")</f>
        <v>View</v>
      </c>
    </row>
    <row r="1036" spans="1:21" ht="20.399999999999999">
      <c r="A1036" s="6">
        <v>43441.786319444444</v>
      </c>
      <c r="B1036" s="7" t="str">
        <f>HYPERLINK("https://twitter.com/naxcat","@naxcat")</f>
        <v>@naxcat</v>
      </c>
      <c r="C1036" s="8" t="s">
        <v>5209</v>
      </c>
      <c r="D1036" s="9" t="s">
        <v>813</v>
      </c>
      <c r="E1036" s="10" t="str">
        <f>HYPERLINK("https://twitter.com/naxcat/status/1071100100993277953","1071100100993277953")</f>
        <v>1071100100993277953</v>
      </c>
      <c r="F1036" s="12" t="s">
        <v>815</v>
      </c>
      <c r="G1036" s="11"/>
      <c r="H1036" s="11"/>
      <c r="I1036" s="13">
        <v>0</v>
      </c>
      <c r="J1036" s="13">
        <v>0</v>
      </c>
      <c r="K1036" s="14" t="str">
        <f>HYPERLINK("http://twitter.com","Twitter Web Client")</f>
        <v>Twitter Web Client</v>
      </c>
      <c r="L1036" s="13">
        <v>374</v>
      </c>
      <c r="M1036" s="13">
        <v>1042</v>
      </c>
      <c r="N1036" s="13">
        <v>3</v>
      </c>
      <c r="O1036" s="15"/>
      <c r="P1036" s="6">
        <v>40583.919293981482</v>
      </c>
      <c r="Q1036" s="18" t="s">
        <v>5211</v>
      </c>
      <c r="R1036" s="19" t="s">
        <v>5212</v>
      </c>
      <c r="S1036" s="11"/>
      <c r="T1036" s="11"/>
      <c r="U1036" s="10" t="str">
        <f>HYPERLINK("https://pbs.twimg.com/profile_images/722560638996869120/XpPOAUGl.jpg","View")</f>
        <v>View</v>
      </c>
    </row>
    <row r="1037" spans="1:21" ht="81.599999999999994">
      <c r="A1037" s="6">
        <v>43441.78606481482</v>
      </c>
      <c r="B1037" s="7" t="str">
        <f>HYPERLINK("https://twitter.com/Suave70511209","@Suave70511209")</f>
        <v>@Suave70511209</v>
      </c>
      <c r="C1037" s="8" t="s">
        <v>5238</v>
      </c>
      <c r="D1037" s="9" t="s">
        <v>5239</v>
      </c>
      <c r="E1037" s="10" t="str">
        <f>HYPERLINK("https://twitter.com/Suave70511209/status/1071100007472869376","1071100007472869376")</f>
        <v>1071100007472869376</v>
      </c>
      <c r="F1037" s="12" t="s">
        <v>5240</v>
      </c>
      <c r="G1037" s="12" t="s">
        <v>5241</v>
      </c>
      <c r="H1037" s="11"/>
      <c r="I1037" s="13">
        <v>0</v>
      </c>
      <c r="J1037" s="13">
        <v>0</v>
      </c>
      <c r="K1037" s="14" t="str">
        <f t="shared" ref="K1037:K1040" si="191">HYPERLINK("http://twitter.com/download/iphone","Twitter for iPhone")</f>
        <v>Twitter for iPhone</v>
      </c>
      <c r="L1037" s="13">
        <v>227</v>
      </c>
      <c r="M1037" s="13">
        <v>712</v>
      </c>
      <c r="N1037" s="13">
        <v>0</v>
      </c>
      <c r="O1037" s="15"/>
      <c r="P1037" s="6">
        <v>43273.738611111112</v>
      </c>
      <c r="Q1037" s="11"/>
      <c r="R1037" s="19" t="s">
        <v>5242</v>
      </c>
      <c r="S1037" s="11"/>
      <c r="T1037" s="11"/>
      <c r="U1037" s="10" t="str">
        <f>HYPERLINK("https://pbs.twimg.com/profile_images/1010222086424547328/YhPI8KQm.jpg","View")</f>
        <v>View</v>
      </c>
    </row>
    <row r="1038" spans="1:21" ht="20.399999999999999">
      <c r="A1038" s="6">
        <v>43441.785821759258</v>
      </c>
      <c r="B1038" s="7" t="str">
        <f>HYPERLINK("https://twitter.com/mj_alo","@mj_alo")</f>
        <v>@mj_alo</v>
      </c>
      <c r="C1038" s="8" t="s">
        <v>5243</v>
      </c>
      <c r="D1038" s="9" t="s">
        <v>5244</v>
      </c>
      <c r="E1038" s="10" t="str">
        <f>HYPERLINK("https://twitter.com/mj_alo/status/1071099918977253376","1071099918977253376")</f>
        <v>1071099918977253376</v>
      </c>
      <c r="F1038" s="12" t="s">
        <v>166</v>
      </c>
      <c r="G1038" s="11"/>
      <c r="H1038" s="11"/>
      <c r="I1038" s="13">
        <v>0</v>
      </c>
      <c r="J1038" s="13">
        <v>0</v>
      </c>
      <c r="K1038" s="14" t="str">
        <f t="shared" si="191"/>
        <v>Twitter for iPhone</v>
      </c>
      <c r="L1038" s="13">
        <v>471</v>
      </c>
      <c r="M1038" s="13">
        <v>170</v>
      </c>
      <c r="N1038" s="13">
        <v>624</v>
      </c>
      <c r="O1038" s="15"/>
      <c r="P1038" s="6">
        <v>41239.686481481483</v>
      </c>
      <c r="Q1038" s="11"/>
      <c r="R1038" s="19" t="s">
        <v>5245</v>
      </c>
      <c r="S1038" s="11"/>
      <c r="T1038" s="11"/>
      <c r="U1038" s="10" t="str">
        <f>HYPERLINK("https://pbs.twimg.com/profile_images/1039853115200217088/BL-5QHy6.jpg","View")</f>
        <v>View</v>
      </c>
    </row>
    <row r="1039" spans="1:21" ht="61.2">
      <c r="A1039" s="6">
        <v>43441.785439814819</v>
      </c>
      <c r="B1039" s="7" t="str">
        <f>HYPERLINK("https://twitter.com/humberfalcon","@humberfalcon")</f>
        <v>@humberfalcon</v>
      </c>
      <c r="C1039" s="8" t="s">
        <v>2032</v>
      </c>
      <c r="D1039" s="9" t="s">
        <v>2033</v>
      </c>
      <c r="E1039" s="10" t="str">
        <f>HYPERLINK("https://twitter.com/humberfalcon/status/1071099780561076225","1071099780561076225")</f>
        <v>1071099780561076225</v>
      </c>
      <c r="F1039" s="11"/>
      <c r="G1039" s="11"/>
      <c r="H1039" s="11"/>
      <c r="I1039" s="13">
        <v>1</v>
      </c>
      <c r="J1039" s="13">
        <v>2</v>
      </c>
      <c r="K1039" s="14" t="str">
        <f t="shared" si="191"/>
        <v>Twitter for iPhone</v>
      </c>
      <c r="L1039" s="13">
        <v>42</v>
      </c>
      <c r="M1039" s="13">
        <v>231</v>
      </c>
      <c r="N1039" s="13">
        <v>0</v>
      </c>
      <c r="O1039" s="15"/>
      <c r="P1039" s="6">
        <v>40462.513402777782</v>
      </c>
      <c r="Q1039" s="18" t="s">
        <v>2034</v>
      </c>
      <c r="R1039" s="19" t="s">
        <v>2035</v>
      </c>
      <c r="S1039" s="11"/>
      <c r="T1039" s="11"/>
      <c r="U1039" s="10" t="str">
        <f>HYPERLINK("https://pbs.twimg.com/profile_images/589734835448602625/vjrtNGO9.jpg","View")</f>
        <v>View</v>
      </c>
    </row>
    <row r="1040" spans="1:21" ht="40.799999999999997">
      <c r="A1040" s="6">
        <v>43441.784849537042</v>
      </c>
      <c r="B1040" s="7" t="str">
        <f>HYPERLINK("https://twitter.com/BuzoneoVox","@BuzoneoVox")</f>
        <v>@BuzoneoVox</v>
      </c>
      <c r="C1040" s="8" t="s">
        <v>5246</v>
      </c>
      <c r="D1040" s="9" t="s">
        <v>5247</v>
      </c>
      <c r="E1040" s="10" t="str">
        <f>HYPERLINK("https://twitter.com/BuzoneoVox/status/1071099566630584327","1071099566630584327")</f>
        <v>1071099566630584327</v>
      </c>
      <c r="F1040" s="12" t="s">
        <v>5248</v>
      </c>
      <c r="G1040" s="12" t="s">
        <v>5249</v>
      </c>
      <c r="H1040" s="11"/>
      <c r="I1040" s="13">
        <v>17</v>
      </c>
      <c r="J1040" s="13">
        <v>14</v>
      </c>
      <c r="K1040" s="14" t="str">
        <f t="shared" si="191"/>
        <v>Twitter for iPhone</v>
      </c>
      <c r="L1040" s="13">
        <v>385</v>
      </c>
      <c r="M1040" s="13">
        <v>644</v>
      </c>
      <c r="N1040" s="13">
        <v>1</v>
      </c>
      <c r="O1040" s="15"/>
      <c r="P1040" s="6">
        <v>43260.618113425924</v>
      </c>
      <c r="Q1040" s="18" t="s">
        <v>42</v>
      </c>
      <c r="R1040" s="19" t="s">
        <v>5250</v>
      </c>
      <c r="S1040" s="11"/>
      <c r="T1040" s="11"/>
      <c r="U1040" s="10" t="str">
        <f>HYPERLINK("https://pbs.twimg.com/profile_images/1005460745071493122/2qz5mJBK.jpg","View")</f>
        <v>View</v>
      </c>
    </row>
    <row r="1041" spans="1:21" ht="20.399999999999999">
      <c r="A1041" s="6">
        <v>43441.783993055556</v>
      </c>
      <c r="B1041" s="7" t="str">
        <f>HYPERLINK("https://twitter.com/naxcat","@naxcat")</f>
        <v>@naxcat</v>
      </c>
      <c r="C1041" s="8" t="s">
        <v>5209</v>
      </c>
      <c r="D1041" s="9" t="s">
        <v>5251</v>
      </c>
      <c r="E1041" s="10" t="str">
        <f>HYPERLINK("https://twitter.com/naxcat/status/1071099255702601728","1071099255702601728")</f>
        <v>1071099255702601728</v>
      </c>
      <c r="F1041" s="12" t="s">
        <v>5252</v>
      </c>
      <c r="G1041" s="11"/>
      <c r="H1041" s="11"/>
      <c r="I1041" s="13">
        <v>0</v>
      </c>
      <c r="J1041" s="13">
        <v>0</v>
      </c>
      <c r="K1041" s="14" t="str">
        <f>HYPERLINK("http://twitter.com","Twitter Web Client")</f>
        <v>Twitter Web Client</v>
      </c>
      <c r="L1041" s="13">
        <v>374</v>
      </c>
      <c r="M1041" s="13">
        <v>1042</v>
      </c>
      <c r="N1041" s="13">
        <v>3</v>
      </c>
      <c r="O1041" s="15"/>
      <c r="P1041" s="6">
        <v>40583.919293981482</v>
      </c>
      <c r="Q1041" s="18" t="s">
        <v>5211</v>
      </c>
      <c r="R1041" s="19" t="s">
        <v>5212</v>
      </c>
      <c r="S1041" s="11"/>
      <c r="T1041" s="11"/>
      <c r="U1041" s="10" t="str">
        <f>HYPERLINK("https://pbs.twimg.com/profile_images/722560638996869120/XpPOAUGl.jpg","View")</f>
        <v>View</v>
      </c>
    </row>
    <row r="1042" spans="1:21" ht="20.399999999999999">
      <c r="A1042" s="6">
        <v>43441.783761574072</v>
      </c>
      <c r="B1042" s="7" t="str">
        <f>HYPERLINK("https://twitter.com/JoseNavasPareja","@JoseNavasPareja")</f>
        <v>@JoseNavasPareja</v>
      </c>
      <c r="C1042" s="8" t="s">
        <v>5253</v>
      </c>
      <c r="D1042" s="9" t="s">
        <v>5254</v>
      </c>
      <c r="E1042" s="10" t="str">
        <f>HYPERLINK("https://twitter.com/JoseNavasPareja/status/1071099170717646849","1071099170717646849")</f>
        <v>1071099170717646849</v>
      </c>
      <c r="F1042" s="12" t="s">
        <v>5255</v>
      </c>
      <c r="G1042" s="11"/>
      <c r="H1042" s="11"/>
      <c r="I1042" s="13">
        <v>0</v>
      </c>
      <c r="J1042" s="13">
        <v>0</v>
      </c>
      <c r="K1042" s="14" t="str">
        <f>HYPERLINK("http://twitter.com/download/android","Twitter for Android")</f>
        <v>Twitter for Android</v>
      </c>
      <c r="L1042" s="13">
        <v>486</v>
      </c>
      <c r="M1042" s="13">
        <v>594</v>
      </c>
      <c r="N1042" s="13">
        <v>16</v>
      </c>
      <c r="O1042" s="15"/>
      <c r="P1042" s="6">
        <v>41273.892523148148</v>
      </c>
      <c r="Q1042" s="11"/>
      <c r="R1042" s="17"/>
      <c r="S1042" s="11"/>
      <c r="T1042" s="11"/>
      <c r="U1042" s="10" t="str">
        <f>HYPERLINK("https://pbs.twimg.com/profile_images/378800000834466669/e86a5d40551f2cd3c0ade06e459967f6.jpeg","View")</f>
        <v>View</v>
      </c>
    </row>
    <row r="1043" spans="1:21" ht="30.6">
      <c r="A1043" s="6">
        <v>43441.783750000002</v>
      </c>
      <c r="B1043" s="7" t="str">
        <f>HYPERLINK("https://twitter.com/okdiario","@okdiario")</f>
        <v>@okdiario</v>
      </c>
      <c r="C1043" s="8" t="s">
        <v>1716</v>
      </c>
      <c r="D1043" s="9" t="s">
        <v>2038</v>
      </c>
      <c r="E1043" s="10" t="str">
        <f>HYPERLINK("https://twitter.com/okdiario/status/1071099169975209984","1071099169975209984")</f>
        <v>1071099169975209984</v>
      </c>
      <c r="F1043" s="12" t="s">
        <v>2039</v>
      </c>
      <c r="G1043" s="11"/>
      <c r="H1043" s="11"/>
      <c r="I1043" s="13">
        <v>31</v>
      </c>
      <c r="J1043" s="13">
        <v>33</v>
      </c>
      <c r="K1043" s="14" t="str">
        <f>HYPERLINK("https://www.echobox.com","Echobox Social")</f>
        <v>Echobox Social</v>
      </c>
      <c r="L1043" s="13">
        <v>112408</v>
      </c>
      <c r="M1043" s="13">
        <v>343</v>
      </c>
      <c r="N1043" s="13">
        <v>1440</v>
      </c>
      <c r="O1043" s="16" t="s">
        <v>25</v>
      </c>
      <c r="P1043" s="6">
        <v>42241.708229166667</v>
      </c>
      <c r="Q1043" s="11"/>
      <c r="R1043" s="19" t="s">
        <v>1722</v>
      </c>
      <c r="S1043" s="12" t="s">
        <v>1723</v>
      </c>
      <c r="T1043" s="11"/>
      <c r="U1043" s="10" t="str">
        <f>HYPERLINK("https://pbs.twimg.com/profile_images/789113773697208320/3LvFvi8Q.jpg","View")</f>
        <v>View</v>
      </c>
    </row>
    <row r="1044" spans="1:21" ht="51">
      <c r="A1044" s="6">
        <v>43441.782372685186</v>
      </c>
      <c r="B1044" s="7" t="str">
        <f>HYPERLINK("https://twitter.com/rayco_gomez","@rayco_gomez")</f>
        <v>@rayco_gomez</v>
      </c>
      <c r="C1044" s="8" t="s">
        <v>5256</v>
      </c>
      <c r="D1044" s="9" t="s">
        <v>5257</v>
      </c>
      <c r="E1044" s="10" t="str">
        <f>HYPERLINK("https://twitter.com/rayco_gomez/status/1071098667954831360","1071098667954831360")</f>
        <v>1071098667954831360</v>
      </c>
      <c r="F1044" s="18" t="s">
        <v>5258</v>
      </c>
      <c r="G1044" s="11"/>
      <c r="H1044" s="11"/>
      <c r="I1044" s="13">
        <v>0</v>
      </c>
      <c r="J1044" s="13">
        <v>0</v>
      </c>
      <c r="K1044" s="14" t="str">
        <f>HYPERLINK("http://twitter.com/download/android","Twitter for Android")</f>
        <v>Twitter for Android</v>
      </c>
      <c r="L1044" s="13">
        <v>832</v>
      </c>
      <c r="M1044" s="13">
        <v>901</v>
      </c>
      <c r="N1044" s="13">
        <v>31</v>
      </c>
      <c r="O1044" s="15"/>
      <c r="P1044" s="6">
        <v>41885.799212962964</v>
      </c>
      <c r="Q1044" s="18" t="s">
        <v>5259</v>
      </c>
      <c r="R1044" s="19" t="s">
        <v>5260</v>
      </c>
      <c r="S1044" s="11"/>
      <c r="T1044" s="11"/>
      <c r="U1044" s="10" t="str">
        <f>HYPERLINK("https://pbs.twimg.com/profile_images/1028195496509231105/0RaxTCW7.jpg","View")</f>
        <v>View</v>
      </c>
    </row>
    <row r="1045" spans="1:21" ht="30.6">
      <c r="A1045" s="6">
        <v>43441.780104166668</v>
      </c>
      <c r="B1045" s="7" t="str">
        <f>HYPERLINK("https://twitter.com/elvelasjillo","@elvelasjillo")</f>
        <v>@elvelasjillo</v>
      </c>
      <c r="C1045" s="8" t="s">
        <v>5261</v>
      </c>
      <c r="D1045" s="9" t="s">
        <v>137</v>
      </c>
      <c r="E1045" s="10" t="str">
        <f>HYPERLINK("https://twitter.com/elvelasjillo/status/1071097845766340608","1071097845766340608")</f>
        <v>1071097845766340608</v>
      </c>
      <c r="F1045" s="12" t="s">
        <v>5262</v>
      </c>
      <c r="G1045" s="11"/>
      <c r="H1045" s="11"/>
      <c r="I1045" s="13">
        <v>0</v>
      </c>
      <c r="J1045" s="13">
        <v>1</v>
      </c>
      <c r="K1045" s="14" t="str">
        <f>HYPERLINK("http://twitter.com/#!/download/ipad","Twitter for iPad")</f>
        <v>Twitter for iPad</v>
      </c>
      <c r="L1045" s="13">
        <v>74</v>
      </c>
      <c r="M1045" s="13">
        <v>229</v>
      </c>
      <c r="N1045" s="13">
        <v>1</v>
      </c>
      <c r="O1045" s="15"/>
      <c r="P1045" s="6">
        <v>42027.850532407407</v>
      </c>
      <c r="Q1045" s="18" t="s">
        <v>5263</v>
      </c>
      <c r="R1045" s="19" t="s">
        <v>5264</v>
      </c>
      <c r="S1045" s="11"/>
      <c r="T1045" s="11"/>
      <c r="U1045" s="10" t="str">
        <f>HYPERLINK("https://pbs.twimg.com/profile_images/1033009146642214913/wbHwa2kX.jpg","View")</f>
        <v>View</v>
      </c>
    </row>
    <row r="1046" spans="1:21" ht="30.6">
      <c r="A1046" s="6">
        <v>43441.780046296291</v>
      </c>
      <c r="B1046" s="7" t="str">
        <f>HYPERLINK("https://twitter.com/dani1372_","@dani1372_")</f>
        <v>@dani1372_</v>
      </c>
      <c r="C1046" s="8" t="s">
        <v>5265</v>
      </c>
      <c r="D1046" s="9" t="s">
        <v>137</v>
      </c>
      <c r="E1046" s="10" t="str">
        <f>HYPERLINK("https://twitter.com/dani1372_/status/1071097826908758016","1071097826908758016")</f>
        <v>1071097826908758016</v>
      </c>
      <c r="F1046" s="12" t="s">
        <v>5266</v>
      </c>
      <c r="G1046" s="11"/>
      <c r="H1046" s="11"/>
      <c r="I1046" s="13">
        <v>0</v>
      </c>
      <c r="J1046" s="13">
        <v>0</v>
      </c>
      <c r="K1046" s="14" t="str">
        <f t="shared" ref="K1046:K1048" si="192">HYPERLINK("http://twitter.com/download/android","Twitter for Android")</f>
        <v>Twitter for Android</v>
      </c>
      <c r="L1046" s="13">
        <v>27</v>
      </c>
      <c r="M1046" s="13">
        <v>114</v>
      </c>
      <c r="N1046" s="13">
        <v>0</v>
      </c>
      <c r="O1046" s="15"/>
      <c r="P1046" s="6">
        <v>41277.496400462966</v>
      </c>
      <c r="Q1046" s="18" t="s">
        <v>3108</v>
      </c>
      <c r="R1046" s="19" t="s">
        <v>5267</v>
      </c>
      <c r="S1046" s="11"/>
      <c r="T1046" s="11"/>
      <c r="U1046" s="10" t="str">
        <f>HYPERLINK("https://pbs.twimg.com/profile_images/1032220339256872961/EK9cOE-B.jpg","View")</f>
        <v>View</v>
      </c>
    </row>
    <row r="1047" spans="1:21" ht="20.399999999999999">
      <c r="A1047" s="6">
        <v>43441.779699074075</v>
      </c>
      <c r="B1047" s="7" t="str">
        <f>HYPERLINK("https://twitter.com/postizi46","@postizi46")</f>
        <v>@postizi46</v>
      </c>
      <c r="C1047" s="8" t="s">
        <v>5268</v>
      </c>
      <c r="D1047" s="9" t="s">
        <v>5269</v>
      </c>
      <c r="E1047" s="10" t="str">
        <f>HYPERLINK("https://twitter.com/postizi46/status/1071097700240777217","1071097700240777217")</f>
        <v>1071097700240777217</v>
      </c>
      <c r="F1047" s="11"/>
      <c r="G1047" s="11"/>
      <c r="H1047" s="11"/>
      <c r="I1047" s="13">
        <v>0</v>
      </c>
      <c r="J1047" s="13">
        <v>0</v>
      </c>
      <c r="K1047" s="14" t="str">
        <f t="shared" si="192"/>
        <v>Twitter for Android</v>
      </c>
      <c r="L1047" s="13">
        <v>454</v>
      </c>
      <c r="M1047" s="13">
        <v>383</v>
      </c>
      <c r="N1047" s="13">
        <v>19</v>
      </c>
      <c r="O1047" s="15"/>
      <c r="P1047" s="6">
        <v>40985.079293981486</v>
      </c>
      <c r="Q1047" s="18" t="s">
        <v>5270</v>
      </c>
      <c r="R1047" s="19" t="s">
        <v>5271</v>
      </c>
      <c r="S1047" s="12" t="s">
        <v>5272</v>
      </c>
      <c r="T1047" s="11"/>
      <c r="U1047" s="10" t="str">
        <f>HYPERLINK("https://pbs.twimg.com/profile_images/1008111017317019648/iOqoXppC.jpg","View")</f>
        <v>View</v>
      </c>
    </row>
    <row r="1048" spans="1:21" ht="30.6">
      <c r="A1048" s="6">
        <v>43441.779675925922</v>
      </c>
      <c r="B1048" s="7" t="str">
        <f>HYPERLINK("https://twitter.com/GLorca95","@GLorca95")</f>
        <v>@GLorca95</v>
      </c>
      <c r="C1048" s="8" t="s">
        <v>5273</v>
      </c>
      <c r="D1048" s="9" t="s">
        <v>137</v>
      </c>
      <c r="E1048" s="10" t="str">
        <f>HYPERLINK("https://twitter.com/GLorca95/status/1071097693337018368","1071097693337018368")</f>
        <v>1071097693337018368</v>
      </c>
      <c r="F1048" s="12" t="s">
        <v>5274</v>
      </c>
      <c r="G1048" s="11"/>
      <c r="H1048" s="11"/>
      <c r="I1048" s="13">
        <v>0</v>
      </c>
      <c r="J1048" s="13">
        <v>0</v>
      </c>
      <c r="K1048" s="14" t="str">
        <f t="shared" si="192"/>
        <v>Twitter for Android</v>
      </c>
      <c r="L1048" s="13">
        <v>83</v>
      </c>
      <c r="M1048" s="13">
        <v>491</v>
      </c>
      <c r="N1048" s="13">
        <v>0</v>
      </c>
      <c r="O1048" s="15"/>
      <c r="P1048" s="6">
        <v>43421.716377314813</v>
      </c>
      <c r="Q1048" s="11"/>
      <c r="R1048" s="17"/>
      <c r="S1048" s="11"/>
      <c r="T1048" s="11"/>
      <c r="U1048" s="16" t="s">
        <v>191</v>
      </c>
    </row>
    <row r="1049" spans="1:21" ht="20.399999999999999">
      <c r="A1049" s="6">
        <v>43441.779189814813</v>
      </c>
      <c r="B1049" s="7" t="str">
        <f>HYPERLINK("https://twitter.com/dnlbs1","@dnlbs1")</f>
        <v>@dnlbs1</v>
      </c>
      <c r="C1049" s="8" t="s">
        <v>5275</v>
      </c>
      <c r="D1049" s="9" t="s">
        <v>5226</v>
      </c>
      <c r="E1049" s="10" t="str">
        <f>HYPERLINK("https://twitter.com/dnlbs1/status/1071097517276889090","1071097517276889090")</f>
        <v>1071097517276889090</v>
      </c>
      <c r="F1049" s="12" t="s">
        <v>5227</v>
      </c>
      <c r="G1049" s="11"/>
      <c r="H1049" s="11"/>
      <c r="I1049" s="13">
        <v>0</v>
      </c>
      <c r="J1049" s="13">
        <v>0</v>
      </c>
      <c r="K1049" s="14" t="str">
        <f>HYPERLINK("https://www.google.com/","Google")</f>
        <v>Google</v>
      </c>
      <c r="L1049" s="13">
        <v>74</v>
      </c>
      <c r="M1049" s="13">
        <v>44</v>
      </c>
      <c r="N1049" s="13">
        <v>4</v>
      </c>
      <c r="O1049" s="15"/>
      <c r="P1049" s="6">
        <v>40969.671527777777</v>
      </c>
      <c r="Q1049" s="11"/>
      <c r="R1049" s="19" t="s">
        <v>5276</v>
      </c>
      <c r="S1049" s="11"/>
      <c r="T1049" s="11"/>
      <c r="U1049" s="10" t="str">
        <f>HYPERLINK("https://pbs.twimg.com/profile_images/1872835283/imagesCAVZ2WPT.jpg","View")</f>
        <v>View</v>
      </c>
    </row>
    <row r="1050" spans="1:21" ht="40.799999999999997">
      <c r="A1050" s="6">
        <v>43441.776689814811</v>
      </c>
      <c r="B1050" s="7" t="str">
        <f>HYPERLINK("https://twitter.com/Anonymus_ES","@Anonymus_ES")</f>
        <v>@Anonymus_ES</v>
      </c>
      <c r="C1050" s="8" t="s">
        <v>2005</v>
      </c>
      <c r="D1050" s="9" t="s">
        <v>5277</v>
      </c>
      <c r="E1050" s="10" t="str">
        <f>HYPERLINK("https://twitter.com/Anonymus_ES/status/1071096608291459072","1071096608291459072")</f>
        <v>1071096608291459072</v>
      </c>
      <c r="F1050" s="12" t="s">
        <v>5278</v>
      </c>
      <c r="G1050" s="11"/>
      <c r="H1050" s="11"/>
      <c r="I1050" s="13">
        <v>1186</v>
      </c>
      <c r="J1050" s="13">
        <v>1730</v>
      </c>
      <c r="K1050" s="14" t="str">
        <f>HYPERLINK("http://twitter.com","Twitter Web Client")</f>
        <v>Twitter Web Client</v>
      </c>
      <c r="L1050" s="13">
        <v>29098</v>
      </c>
      <c r="M1050" s="13">
        <v>1921</v>
      </c>
      <c r="N1050" s="13">
        <v>50</v>
      </c>
      <c r="O1050" s="15"/>
      <c r="P1050" s="6">
        <v>41337.908738425926</v>
      </c>
      <c r="Q1050" s="18" t="s">
        <v>2010</v>
      </c>
      <c r="R1050" s="19" t="s">
        <v>2011</v>
      </c>
      <c r="S1050" s="11"/>
      <c r="T1050" s="11"/>
      <c r="U1050" s="10" t="str">
        <f>HYPERLINK("https://pbs.twimg.com/profile_images/912653711629053952/Knwhdl0H.jpg","View")</f>
        <v>View</v>
      </c>
    </row>
    <row r="1051" spans="1:21" ht="51">
      <c r="A1051" s="6">
        <v>43441.775891203702</v>
      </c>
      <c r="B1051" s="7" t="str">
        <f>HYPERLINK("https://twitter.com/ipocolisto","@ipocolisto")</f>
        <v>@ipocolisto</v>
      </c>
      <c r="C1051" s="8" t="s">
        <v>1834</v>
      </c>
      <c r="D1051" s="9" t="s">
        <v>2040</v>
      </c>
      <c r="E1051" s="10" t="str">
        <f>HYPERLINK("https://twitter.com/ipocolisto/status/1071096321195552769","1071096321195552769")</f>
        <v>1071096321195552769</v>
      </c>
      <c r="F1051" s="11"/>
      <c r="G1051" s="12" t="s">
        <v>2041</v>
      </c>
      <c r="H1051" s="11"/>
      <c r="I1051" s="13">
        <v>0</v>
      </c>
      <c r="J1051" s="13">
        <v>0</v>
      </c>
      <c r="K1051" s="14" t="str">
        <f>HYPERLINK("http://twitter.com/download/android","Twitter for Android")</f>
        <v>Twitter for Android</v>
      </c>
      <c r="L1051" s="13">
        <v>16</v>
      </c>
      <c r="M1051" s="13">
        <v>123</v>
      </c>
      <c r="N1051" s="13">
        <v>0</v>
      </c>
      <c r="O1051" s="15"/>
      <c r="P1051" s="6">
        <v>43367.895115740743</v>
      </c>
      <c r="Q1051" s="18" t="s">
        <v>1836</v>
      </c>
      <c r="R1051" s="19" t="s">
        <v>1837</v>
      </c>
      <c r="S1051" s="11"/>
      <c r="T1051" s="11"/>
      <c r="U1051" s="10" t="str">
        <f>HYPERLINK("https://pbs.twimg.com/profile_images/1053894900192813056/bv53Z-Gy.jpg","View")</f>
        <v>View</v>
      </c>
    </row>
    <row r="1052" spans="1:21" ht="51">
      <c r="A1052" s="6">
        <v>43441.775335648148</v>
      </c>
      <c r="B1052" s="7" t="str">
        <f>HYPERLINK("https://twitter.com/DrMaligno76","@DrMaligno76")</f>
        <v>@DrMaligno76</v>
      </c>
      <c r="C1052" s="8" t="s">
        <v>2043</v>
      </c>
      <c r="D1052" s="9" t="s">
        <v>2044</v>
      </c>
      <c r="E1052" s="10" t="str">
        <f>HYPERLINK("https://twitter.com/DrMaligno76/status/1071096118770053121","1071096118770053121")</f>
        <v>1071096118770053121</v>
      </c>
      <c r="F1052" s="12" t="s">
        <v>732</v>
      </c>
      <c r="G1052" s="11"/>
      <c r="H1052" s="11"/>
      <c r="I1052" s="13">
        <v>0</v>
      </c>
      <c r="J1052" s="13">
        <v>0</v>
      </c>
      <c r="K1052" s="14" t="str">
        <f>HYPERLINK("https://mobile.twitter.com","Twitter Lite")</f>
        <v>Twitter Lite</v>
      </c>
      <c r="L1052" s="13">
        <v>269</v>
      </c>
      <c r="M1052" s="13">
        <v>513</v>
      </c>
      <c r="N1052" s="13">
        <v>12</v>
      </c>
      <c r="O1052" s="15"/>
      <c r="P1052" s="6">
        <v>40256.992719907408</v>
      </c>
      <c r="Q1052" s="18" t="s">
        <v>307</v>
      </c>
      <c r="R1052" s="19" t="s">
        <v>2045</v>
      </c>
      <c r="S1052" s="11"/>
      <c r="T1052" s="11"/>
      <c r="U1052" s="10" t="str">
        <f>HYPERLINK("https://pbs.twimg.com/profile_images/919087357210619905/O3cUFRFY.jpg","View")</f>
        <v>View</v>
      </c>
    </row>
    <row r="1053" spans="1:21" ht="51">
      <c r="A1053" s="6">
        <v>43441.775300925925</v>
      </c>
      <c r="B1053" s="7" t="str">
        <f>HYPERLINK("https://twitter.com/Asturicae","@Asturicae")</f>
        <v>@Asturicae</v>
      </c>
      <c r="C1053" s="8" t="s">
        <v>2047</v>
      </c>
      <c r="D1053" s="9" t="s">
        <v>2048</v>
      </c>
      <c r="E1053" s="10" t="str">
        <f>HYPERLINK("https://twitter.com/Asturicae/status/1071096108703801351","1071096108703801351")</f>
        <v>1071096108703801351</v>
      </c>
      <c r="F1053" s="11"/>
      <c r="G1053" s="12" t="s">
        <v>2049</v>
      </c>
      <c r="H1053" s="11"/>
      <c r="I1053" s="13">
        <v>0</v>
      </c>
      <c r="J1053" s="13">
        <v>0</v>
      </c>
      <c r="K1053" s="14" t="str">
        <f>HYPERLINK("http://twitter.com/download/android","Twitter for Android")</f>
        <v>Twitter for Android</v>
      </c>
      <c r="L1053" s="13">
        <v>132</v>
      </c>
      <c r="M1053" s="13">
        <v>472</v>
      </c>
      <c r="N1053" s="13">
        <v>0</v>
      </c>
      <c r="O1053" s="15"/>
      <c r="P1053" s="6">
        <v>40285.666504629626</v>
      </c>
      <c r="Q1053" s="18" t="s">
        <v>42</v>
      </c>
      <c r="R1053" s="19" t="s">
        <v>2050</v>
      </c>
      <c r="S1053" s="11"/>
      <c r="T1053" s="11"/>
      <c r="U1053" s="10" t="str">
        <f>HYPERLINK("https://pbs.twimg.com/profile_images/1025516616371589121/vX1eeZln.jpg","View")</f>
        <v>View</v>
      </c>
    </row>
    <row r="1054" spans="1:21" ht="30.6">
      <c r="A1054" s="6">
        <v>43441.775138888886</v>
      </c>
      <c r="B1054" s="7" t="str">
        <f>HYPERLINK("https://twitter.com/euroescoba","@euroescoba")</f>
        <v>@euroescoba</v>
      </c>
      <c r="C1054" s="8" t="s">
        <v>1553</v>
      </c>
      <c r="D1054" s="9" t="s">
        <v>2053</v>
      </c>
      <c r="E1054" s="10" t="str">
        <f>HYPERLINK("https://twitter.com/euroescoba/status/1071096048666505216","1071096048666505216")</f>
        <v>1071096048666505216</v>
      </c>
      <c r="F1054" s="12" t="s">
        <v>1487</v>
      </c>
      <c r="G1054" s="12" t="s">
        <v>1488</v>
      </c>
      <c r="H1054" s="11"/>
      <c r="I1054" s="13">
        <v>0</v>
      </c>
      <c r="J1054" s="13">
        <v>0</v>
      </c>
      <c r="K1054" s="14" t="str">
        <f>HYPERLINK("http://twitter.com/download/iphone","Twitter for iPhone")</f>
        <v>Twitter for iPhone</v>
      </c>
      <c r="L1054" s="13">
        <v>253</v>
      </c>
      <c r="M1054" s="13">
        <v>654</v>
      </c>
      <c r="N1054" s="13">
        <v>0</v>
      </c>
      <c r="O1054" s="15"/>
      <c r="P1054" s="6">
        <v>43359.871423611112</v>
      </c>
      <c r="Q1054" s="18" t="s">
        <v>42</v>
      </c>
      <c r="R1054" s="17"/>
      <c r="S1054" s="11"/>
      <c r="T1054" s="11"/>
      <c r="U1054" s="10" t="str">
        <f>HYPERLINK("https://pbs.twimg.com/profile_images/1041401488071962625/h0f4uHG9.jpg","View")</f>
        <v>View</v>
      </c>
    </row>
    <row r="1055" spans="1:21" ht="71.400000000000006">
      <c r="A1055" s="6">
        <v>43441.774421296301</v>
      </c>
      <c r="B1055" s="7" t="str">
        <f>HYPERLINK("https://twitter.com/andresantheus","@andresantheus")</f>
        <v>@andresantheus</v>
      </c>
      <c r="C1055" s="8" t="s">
        <v>1778</v>
      </c>
      <c r="D1055" s="9" t="s">
        <v>2056</v>
      </c>
      <c r="E1055" s="10" t="str">
        <f>HYPERLINK("https://twitter.com/andresantheus/status/1071095786581188610","1071095786581188610")</f>
        <v>1071095786581188610</v>
      </c>
      <c r="F1055" s="11"/>
      <c r="G1055" s="11"/>
      <c r="H1055" s="11"/>
      <c r="I1055" s="13">
        <v>0</v>
      </c>
      <c r="J1055" s="13">
        <v>0</v>
      </c>
      <c r="K1055" s="14" t="str">
        <f>HYPERLINK("http://twitter.com","Twitter Web Client")</f>
        <v>Twitter Web Client</v>
      </c>
      <c r="L1055" s="13">
        <v>86</v>
      </c>
      <c r="M1055" s="13">
        <v>672</v>
      </c>
      <c r="N1055" s="13">
        <v>5</v>
      </c>
      <c r="O1055" s="15"/>
      <c r="P1055" s="6">
        <v>40801.721168981479</v>
      </c>
      <c r="Q1055" s="18" t="s">
        <v>1781</v>
      </c>
      <c r="R1055" s="19" t="s">
        <v>1782</v>
      </c>
      <c r="S1055" s="11"/>
      <c r="T1055" s="11"/>
      <c r="U1055" s="10" t="str">
        <f>HYPERLINK("https://pbs.twimg.com/profile_images/747500591061012480/qORAtf-h.jpg","View")</f>
        <v>View</v>
      </c>
    </row>
    <row r="1056" spans="1:21" ht="81.599999999999994">
      <c r="A1056" s="6">
        <v>43441.773946759262</v>
      </c>
      <c r="B1056" s="7" t="str">
        <f>HYPERLINK("https://twitter.com/gab_gab251","@gab_gab251")</f>
        <v>@gab_gab251</v>
      </c>
      <c r="C1056" s="8" t="s">
        <v>5279</v>
      </c>
      <c r="D1056" s="9" t="s">
        <v>5280</v>
      </c>
      <c r="E1056" s="10" t="str">
        <f>HYPERLINK("https://twitter.com/gab_gab251/status/1071095615764000769","1071095615764000769")</f>
        <v>1071095615764000769</v>
      </c>
      <c r="F1056" s="12" t="s">
        <v>1465</v>
      </c>
      <c r="G1056" s="11"/>
      <c r="H1056" s="11"/>
      <c r="I1056" s="13">
        <v>0</v>
      </c>
      <c r="J1056" s="13">
        <v>0</v>
      </c>
      <c r="K1056" s="14" t="str">
        <f t="shared" ref="K1056:K1057" si="193">HYPERLINK("http://twitter.com/download/android","Twitter for Android")</f>
        <v>Twitter for Android</v>
      </c>
      <c r="L1056" s="13">
        <v>1959</v>
      </c>
      <c r="M1056" s="13">
        <v>271</v>
      </c>
      <c r="N1056" s="13">
        <v>38</v>
      </c>
      <c r="O1056" s="15"/>
      <c r="P1056" s="6">
        <v>40053.576747685183</v>
      </c>
      <c r="Q1056" s="18" t="s">
        <v>5281</v>
      </c>
      <c r="R1056" s="19" t="s">
        <v>5282</v>
      </c>
      <c r="S1056" s="11"/>
      <c r="T1056" s="11"/>
      <c r="U1056" s="10" t="str">
        <f>HYPERLINK("https://pbs.twimg.com/profile_images/1012032902178078720/_RqLUN9P.jpg","View")</f>
        <v>View</v>
      </c>
    </row>
    <row r="1057" spans="1:21" ht="20.399999999999999">
      <c r="A1057" s="6">
        <v>43441.769479166665</v>
      </c>
      <c r="B1057" s="7" t="str">
        <f>HYPERLINK("https://twitter.com/LuisLasala1","@LuisLasala1")</f>
        <v>@LuisLasala1</v>
      </c>
      <c r="C1057" s="8" t="s">
        <v>5283</v>
      </c>
      <c r="D1057" s="9" t="s">
        <v>5284</v>
      </c>
      <c r="E1057" s="10" t="str">
        <f>HYPERLINK("https://twitter.com/LuisLasala1/status/1071093995873406978","1071093995873406978")</f>
        <v>1071093995873406978</v>
      </c>
      <c r="F1057" s="12" t="s">
        <v>403</v>
      </c>
      <c r="G1057" s="11"/>
      <c r="H1057" s="11"/>
      <c r="I1057" s="13">
        <v>3</v>
      </c>
      <c r="J1057" s="13">
        <v>3</v>
      </c>
      <c r="K1057" s="14" t="str">
        <f t="shared" si="193"/>
        <v>Twitter for Android</v>
      </c>
      <c r="L1057" s="13">
        <v>4218</v>
      </c>
      <c r="M1057" s="13">
        <v>4608</v>
      </c>
      <c r="N1057" s="13">
        <v>102</v>
      </c>
      <c r="O1057" s="15"/>
      <c r="P1057" s="6">
        <v>41365.888831018521</v>
      </c>
      <c r="Q1057" s="11"/>
      <c r="R1057" s="19" t="s">
        <v>5285</v>
      </c>
      <c r="S1057" s="12" t="s">
        <v>5286</v>
      </c>
      <c r="T1057" s="11"/>
      <c r="U1057" s="10" t="str">
        <f>HYPERLINK("https://pbs.twimg.com/profile_images/3531607575/3f2a8ae95e8b98cbe8d6e4a0dac993ac.jpeg","View")</f>
        <v>View</v>
      </c>
    </row>
    <row r="1058" spans="1:21" ht="30.6">
      <c r="A1058" s="6">
        <v>43441.769143518519</v>
      </c>
      <c r="B1058" s="7" t="str">
        <f>HYPERLINK("https://twitter.com/RafaHumildad","@RafaHumildad")</f>
        <v>@RafaHumildad</v>
      </c>
      <c r="C1058" s="8" t="s">
        <v>2059</v>
      </c>
      <c r="D1058" s="9" t="s">
        <v>2060</v>
      </c>
      <c r="E1058" s="10" t="str">
        <f>HYPERLINK("https://twitter.com/RafaHumildad/status/1071093876310638595","1071093876310638595")</f>
        <v>1071093876310638595</v>
      </c>
      <c r="F1058" s="11"/>
      <c r="G1058" s="11"/>
      <c r="H1058" s="11"/>
      <c r="I1058" s="13">
        <v>0</v>
      </c>
      <c r="J1058" s="13">
        <v>0</v>
      </c>
      <c r="K1058" s="14" t="str">
        <f>HYPERLINK("http://twitter.com","Twitter Web Client")</f>
        <v>Twitter Web Client</v>
      </c>
      <c r="L1058" s="13">
        <v>995</v>
      </c>
      <c r="M1058" s="13">
        <v>1154</v>
      </c>
      <c r="N1058" s="13">
        <v>15</v>
      </c>
      <c r="O1058" s="15"/>
      <c r="P1058" s="6">
        <v>40140.140729166669</v>
      </c>
      <c r="Q1058" s="11"/>
      <c r="R1058" s="19" t="s">
        <v>2062</v>
      </c>
      <c r="S1058" s="11"/>
      <c r="T1058" s="11"/>
      <c r="U1058" s="10" t="str">
        <f>HYPERLINK("https://pbs.twimg.com/profile_images/949426795161489411/C_pVNSMb.jpg","View")</f>
        <v>View</v>
      </c>
    </row>
    <row r="1059" spans="1:21" ht="13.2">
      <c r="A1059" s="6">
        <v>43441.768784722226</v>
      </c>
      <c r="B1059" s="7" t="str">
        <f>HYPERLINK("https://twitter.com/MaryoryRosales","@MaryoryRosales")</f>
        <v>@MaryoryRosales</v>
      </c>
      <c r="C1059" s="8" t="s">
        <v>5287</v>
      </c>
      <c r="D1059" s="9" t="s">
        <v>5288</v>
      </c>
      <c r="E1059" s="10" t="str">
        <f>HYPERLINK("https://twitter.com/MaryoryRosales/status/1071093744559099904","1071093744559099904")</f>
        <v>1071093744559099904</v>
      </c>
      <c r="F1059" s="11"/>
      <c r="G1059" s="11"/>
      <c r="H1059" s="11"/>
      <c r="I1059" s="13">
        <v>0</v>
      </c>
      <c r="J1059" s="13">
        <v>0</v>
      </c>
      <c r="K1059" s="14" t="str">
        <f>HYPERLINK("http://twitter.com/download/android","Twitter for Android")</f>
        <v>Twitter for Android</v>
      </c>
      <c r="L1059" s="13">
        <v>282</v>
      </c>
      <c r="M1059" s="13">
        <v>332</v>
      </c>
      <c r="N1059" s="13">
        <v>1</v>
      </c>
      <c r="O1059" s="15"/>
      <c r="P1059" s="6">
        <v>40149.97965277778</v>
      </c>
      <c r="Q1059" s="18" t="s">
        <v>5289</v>
      </c>
      <c r="R1059" s="19" t="s">
        <v>5290</v>
      </c>
      <c r="S1059" s="11"/>
      <c r="T1059" s="11"/>
      <c r="U1059" s="10" t="str">
        <f>HYPERLINK("https://pbs.twimg.com/profile_images/1059189907816697856/ed-cVyPH.jpg","View")</f>
        <v>View</v>
      </c>
    </row>
    <row r="1060" spans="1:21" ht="30.6">
      <c r="A1060" s="6">
        <v>43441.768750000003</v>
      </c>
      <c r="B1060" s="7" t="str">
        <f>HYPERLINK("https://twitter.com/COPE","@COPE")</f>
        <v>@COPE</v>
      </c>
      <c r="C1060" s="8" t="s">
        <v>197</v>
      </c>
      <c r="D1060" s="9" t="s">
        <v>2066</v>
      </c>
      <c r="E1060" s="10" t="str">
        <f>HYPERLINK("https://twitter.com/COPE/status/1071093734098505731","1071093734098505731")</f>
        <v>1071093734098505731</v>
      </c>
      <c r="F1060" s="12" t="s">
        <v>2067</v>
      </c>
      <c r="G1060" s="11"/>
      <c r="H1060" s="11"/>
      <c r="I1060" s="13">
        <v>217</v>
      </c>
      <c r="J1060" s="13">
        <v>320</v>
      </c>
      <c r="K1060" s="14" t="str">
        <f>HYPERLINK("http://dogtrack.es","DogTrack_Oficial")</f>
        <v>DogTrack_Oficial</v>
      </c>
      <c r="L1060" s="13">
        <v>354193</v>
      </c>
      <c r="M1060" s="13">
        <v>150</v>
      </c>
      <c r="N1060" s="13">
        <v>3095</v>
      </c>
      <c r="O1060" s="16" t="s">
        <v>25</v>
      </c>
      <c r="P1060" s="6">
        <v>39381.538321759261</v>
      </c>
      <c r="Q1060" s="18" t="s">
        <v>41</v>
      </c>
      <c r="R1060" s="19" t="s">
        <v>203</v>
      </c>
      <c r="S1060" s="12" t="s">
        <v>206</v>
      </c>
      <c r="T1060" s="11"/>
      <c r="U1060" s="10" t="str">
        <f>HYPERLINK("https://pbs.twimg.com/profile_images/1063097716031533059/yAe1j-56.jpg","View")</f>
        <v>View</v>
      </c>
    </row>
    <row r="1061" spans="1:21" ht="40.799999999999997">
      <c r="A1061" s="6">
        <v>43441.766030092593</v>
      </c>
      <c r="B1061" s="7" t="str">
        <f>HYPERLINK("https://twitter.com/CarlosDArtagnan","@CarlosDArtagnan")</f>
        <v>@CarlosDArtagnan</v>
      </c>
      <c r="C1061" s="8" t="s">
        <v>5198</v>
      </c>
      <c r="D1061" s="9" t="s">
        <v>5291</v>
      </c>
      <c r="E1061" s="10" t="str">
        <f>HYPERLINK("https://twitter.com/CarlosDArtagnan/status/1071092748839731201","1071092748839731201")</f>
        <v>1071092748839731201</v>
      </c>
      <c r="F1061" s="11"/>
      <c r="G1061" s="12" t="s">
        <v>5292</v>
      </c>
      <c r="H1061" s="11"/>
      <c r="I1061" s="13">
        <v>0</v>
      </c>
      <c r="J1061" s="13">
        <v>0</v>
      </c>
      <c r="K1061" s="14" t="str">
        <f>HYPERLINK("http://twitter.com","Twitter Web Client")</f>
        <v>Twitter Web Client</v>
      </c>
      <c r="L1061" s="13">
        <v>198</v>
      </c>
      <c r="M1061" s="13">
        <v>182</v>
      </c>
      <c r="N1061" s="13">
        <v>3</v>
      </c>
      <c r="O1061" s="15"/>
      <c r="P1061" s="6">
        <v>41814.968680555554</v>
      </c>
      <c r="Q1061" s="11"/>
      <c r="R1061" s="17"/>
      <c r="S1061" s="11"/>
      <c r="T1061" s="11"/>
      <c r="U1061" s="10" t="str">
        <f>HYPERLINK("https://pbs.twimg.com/profile_images/481549947448201216/G0KAVN5h.jpeg","View")</f>
        <v>View</v>
      </c>
    </row>
    <row r="1062" spans="1:21" ht="51">
      <c r="A1062" s="6">
        <v>43441.764317129629</v>
      </c>
      <c r="B1062" s="7" t="str">
        <f>HYPERLINK("https://twitter.com/nessness1970","@nessness1970")</f>
        <v>@nessness1970</v>
      </c>
      <c r="C1062" s="8" t="s">
        <v>2071</v>
      </c>
      <c r="D1062" s="9" t="s">
        <v>2072</v>
      </c>
      <c r="E1062" s="10" t="str">
        <f>HYPERLINK("https://twitter.com/nessness1970/status/1071092127105462273","1071092127105462273")</f>
        <v>1071092127105462273</v>
      </c>
      <c r="F1062" s="12" t="s">
        <v>2073</v>
      </c>
      <c r="G1062" s="11"/>
      <c r="H1062" s="11"/>
      <c r="I1062" s="13">
        <v>0</v>
      </c>
      <c r="J1062" s="13">
        <v>0</v>
      </c>
      <c r="K1062" s="14" t="str">
        <f>HYPERLINK("http://twitter.com/#!/download/ipad","Twitter for iPad")</f>
        <v>Twitter for iPad</v>
      </c>
      <c r="L1062" s="13">
        <v>412</v>
      </c>
      <c r="M1062" s="13">
        <v>551</v>
      </c>
      <c r="N1062" s="13">
        <v>10</v>
      </c>
      <c r="O1062" s="15"/>
      <c r="P1062" s="6">
        <v>40533.830960648149</v>
      </c>
      <c r="Q1062" s="18" t="s">
        <v>307</v>
      </c>
      <c r="R1062" s="19" t="s">
        <v>2078</v>
      </c>
      <c r="S1062" s="11"/>
      <c r="T1062" s="11"/>
      <c r="U1062" s="10" t="str">
        <f>HYPERLINK("https://pbs.twimg.com/profile_images/573772939876827136/GPkPGmLI.jpeg","View")</f>
        <v>View</v>
      </c>
    </row>
    <row r="1063" spans="1:21" ht="30.6">
      <c r="A1063" s="6">
        <v>43441.76425925926</v>
      </c>
      <c r="B1063" s="7" t="str">
        <f>HYPERLINK("https://twitter.com/TheCormental","@TheCormental")</f>
        <v>@TheCormental</v>
      </c>
      <c r="C1063" s="8" t="s">
        <v>5293</v>
      </c>
      <c r="D1063" s="9" t="s">
        <v>1002</v>
      </c>
      <c r="E1063" s="10" t="str">
        <f>HYPERLINK("https://twitter.com/TheCormental/status/1071092105777434630","1071092105777434630")</f>
        <v>1071092105777434630</v>
      </c>
      <c r="F1063" s="12" t="s">
        <v>1004</v>
      </c>
      <c r="G1063" s="11"/>
      <c r="H1063" s="11"/>
      <c r="I1063" s="13">
        <v>0</v>
      </c>
      <c r="J1063" s="13">
        <v>0</v>
      </c>
      <c r="K1063" s="14" t="str">
        <f>HYPERLINK("https://www.google.com/","Google")</f>
        <v>Google</v>
      </c>
      <c r="L1063" s="13">
        <v>646</v>
      </c>
      <c r="M1063" s="13">
        <v>1214</v>
      </c>
      <c r="N1063" s="13">
        <v>69</v>
      </c>
      <c r="O1063" s="15"/>
      <c r="P1063" s="6">
        <v>41385.54146990741</v>
      </c>
      <c r="Q1063" s="18" t="s">
        <v>671</v>
      </c>
      <c r="R1063" s="19" t="s">
        <v>5294</v>
      </c>
      <c r="S1063" s="12" t="s">
        <v>5295</v>
      </c>
      <c r="T1063" s="11"/>
      <c r="U1063" s="10" t="str">
        <f>HYPERLINK("https://pbs.twimg.com/profile_images/960971237940965376/j3ZMhhtA.jpg","View")</f>
        <v>View</v>
      </c>
    </row>
    <row r="1064" spans="1:21" ht="20.399999999999999">
      <c r="A1064" s="6">
        <v>43441.763541666667</v>
      </c>
      <c r="B1064" s="7" t="str">
        <f>HYPERLINK("https://twitter.com/nurmms","@nurmms")</f>
        <v>@nurmms</v>
      </c>
      <c r="C1064" s="8" t="s">
        <v>5296</v>
      </c>
      <c r="D1064" s="9" t="s">
        <v>5297</v>
      </c>
      <c r="E1064" s="10" t="str">
        <f>HYPERLINK("https://twitter.com/nurmms/status/1071091846347190272","1071091846347190272")</f>
        <v>1071091846347190272</v>
      </c>
      <c r="F1064" s="12" t="s">
        <v>5298</v>
      </c>
      <c r="G1064" s="12" t="s">
        <v>713</v>
      </c>
      <c r="H1064" s="11"/>
      <c r="I1064" s="13">
        <v>0</v>
      </c>
      <c r="J1064" s="13">
        <v>0</v>
      </c>
      <c r="K1064" s="14" t="str">
        <f>HYPERLINK("http://twitter.com/download/android","Twitter for Android")</f>
        <v>Twitter for Android</v>
      </c>
      <c r="L1064" s="13">
        <v>171</v>
      </c>
      <c r="M1064" s="13">
        <v>325</v>
      </c>
      <c r="N1064" s="13">
        <v>3</v>
      </c>
      <c r="O1064" s="15"/>
      <c r="P1064" s="6">
        <v>43308.717175925922</v>
      </c>
      <c r="Q1064" s="18" t="s">
        <v>5299</v>
      </c>
      <c r="R1064" s="19" t="s">
        <v>5300</v>
      </c>
      <c r="S1064" s="11"/>
      <c r="T1064" s="11"/>
      <c r="U1064" s="10" t="str">
        <f>HYPERLINK("https://pbs.twimg.com/profile_images/1071040139974070272/ty0w2P9a.jpg","View")</f>
        <v>View</v>
      </c>
    </row>
    <row r="1065" spans="1:21" ht="20.399999999999999">
      <c r="A1065" s="6">
        <v>43441.763425925921</v>
      </c>
      <c r="B1065" s="7" t="str">
        <f>HYPERLINK("https://twitter.com/benibick","@benibick")</f>
        <v>@benibick</v>
      </c>
      <c r="C1065" s="8" t="s">
        <v>5302</v>
      </c>
      <c r="D1065" s="9" t="s">
        <v>5303</v>
      </c>
      <c r="E1065" s="10" t="str">
        <f>HYPERLINK("https://twitter.com/benibick/status/1071091804198592517","1071091804198592517")</f>
        <v>1071091804198592517</v>
      </c>
      <c r="F1065" s="11"/>
      <c r="G1065" s="11"/>
      <c r="H1065" s="11"/>
      <c r="I1065" s="13">
        <v>0</v>
      </c>
      <c r="J1065" s="13">
        <v>0</v>
      </c>
      <c r="K1065" s="14" t="str">
        <f>HYPERLINK("http://twitter.com","Twitter Web Client")</f>
        <v>Twitter Web Client</v>
      </c>
      <c r="L1065" s="13">
        <v>299</v>
      </c>
      <c r="M1065" s="13">
        <v>416</v>
      </c>
      <c r="N1065" s="13">
        <v>9</v>
      </c>
      <c r="O1065" s="15"/>
      <c r="P1065" s="6">
        <v>42410.855636574073</v>
      </c>
      <c r="Q1065" s="11"/>
      <c r="R1065" s="19" t="s">
        <v>5304</v>
      </c>
      <c r="S1065" s="11"/>
      <c r="T1065" s="11"/>
      <c r="U1065" s="10" t="str">
        <f>HYPERLINK("https://pbs.twimg.com/profile_images/708057572734017536/joXlqZ30.jpg","View")</f>
        <v>View</v>
      </c>
    </row>
    <row r="1066" spans="1:21" ht="40.799999999999997">
      <c r="A1066" s="6">
        <v>43441.763009259259</v>
      </c>
      <c r="B1066" s="7" t="str">
        <f>HYPERLINK("https://twitter.com/BuzoneoVox","@BuzoneoVox")</f>
        <v>@BuzoneoVox</v>
      </c>
      <c r="C1066" s="8" t="s">
        <v>5246</v>
      </c>
      <c r="D1066" s="9" t="s">
        <v>5305</v>
      </c>
      <c r="E1066" s="10" t="str">
        <f>HYPERLINK("https://twitter.com/BuzoneoVox/status/1071091651253284864","1071091651253284864")</f>
        <v>1071091651253284864</v>
      </c>
      <c r="F1066" s="18" t="s">
        <v>5306</v>
      </c>
      <c r="G1066" s="11"/>
      <c r="H1066" s="11"/>
      <c r="I1066" s="13">
        <v>0</v>
      </c>
      <c r="J1066" s="13">
        <v>1</v>
      </c>
      <c r="K1066" s="14" t="str">
        <f>HYPERLINK("http://twitter.com/download/iphone","Twitter for iPhone")</f>
        <v>Twitter for iPhone</v>
      </c>
      <c r="L1066" s="13">
        <v>385</v>
      </c>
      <c r="M1066" s="13">
        <v>644</v>
      </c>
      <c r="N1066" s="13">
        <v>1</v>
      </c>
      <c r="O1066" s="15"/>
      <c r="P1066" s="6">
        <v>43260.618113425924</v>
      </c>
      <c r="Q1066" s="18" t="s">
        <v>42</v>
      </c>
      <c r="R1066" s="19" t="s">
        <v>5250</v>
      </c>
      <c r="S1066" s="11"/>
      <c r="T1066" s="11"/>
      <c r="U1066" s="10" t="str">
        <f>HYPERLINK("https://pbs.twimg.com/profile_images/1005460745071493122/2qz5mJBK.jpg","View")</f>
        <v>View</v>
      </c>
    </row>
    <row r="1067" spans="1:21" ht="51">
      <c r="A1067" s="6">
        <v>43441.76226851852</v>
      </c>
      <c r="B1067" s="7" t="str">
        <f>HYPERLINK("https://twitter.com/ManuelaSesIlles","@ManuelaSesIlles")</f>
        <v>@ManuelaSesIlles</v>
      </c>
      <c r="C1067" s="8" t="s">
        <v>2081</v>
      </c>
      <c r="D1067" s="9" t="s">
        <v>2082</v>
      </c>
      <c r="E1067" s="10" t="str">
        <f>HYPERLINK("https://twitter.com/ManuelaSesIlles/status/1071091385787392001","1071091385787392001")</f>
        <v>1071091385787392001</v>
      </c>
      <c r="F1067" s="12" t="s">
        <v>732</v>
      </c>
      <c r="G1067" s="11"/>
      <c r="H1067" s="11"/>
      <c r="I1067" s="13">
        <v>11</v>
      </c>
      <c r="J1067" s="13">
        <v>18</v>
      </c>
      <c r="K1067" s="14" t="str">
        <f t="shared" ref="K1067:K1070" si="194">HYPERLINK("http://twitter.com/download/android","Twitter for Android")</f>
        <v>Twitter for Android</v>
      </c>
      <c r="L1067" s="13">
        <v>2621</v>
      </c>
      <c r="M1067" s="13">
        <v>2475</v>
      </c>
      <c r="N1067" s="13">
        <v>5</v>
      </c>
      <c r="O1067" s="15"/>
      <c r="P1067" s="6">
        <v>43144.485266203701</v>
      </c>
      <c r="Q1067" s="18" t="s">
        <v>42</v>
      </c>
      <c r="R1067" s="19" t="s">
        <v>2083</v>
      </c>
      <c r="S1067" s="11"/>
      <c r="T1067" s="11"/>
      <c r="U1067" s="10" t="str">
        <f>HYPERLINK("https://pbs.twimg.com/profile_images/963501201219293184/N6-kNIJe.jpg","View")</f>
        <v>View</v>
      </c>
    </row>
    <row r="1068" spans="1:21" ht="13.2">
      <c r="A1068" s="6">
        <v>43441.760833333334</v>
      </c>
      <c r="B1068" s="7" t="str">
        <f>HYPERLINK("https://twitter.com/Ray_1964","@Ray_1964")</f>
        <v>@Ray_1964</v>
      </c>
      <c r="C1068" s="8" t="s">
        <v>5307</v>
      </c>
      <c r="D1068" s="9" t="s">
        <v>5308</v>
      </c>
      <c r="E1068" s="10" t="str">
        <f>HYPERLINK("https://twitter.com/Ray_1964/status/1071090862946484226","1071090862946484226")</f>
        <v>1071090862946484226</v>
      </c>
      <c r="F1068" s="11"/>
      <c r="G1068" s="12" t="s">
        <v>5309</v>
      </c>
      <c r="H1068" s="11"/>
      <c r="I1068" s="13">
        <v>0</v>
      </c>
      <c r="J1068" s="13">
        <v>1</v>
      </c>
      <c r="K1068" s="14" t="str">
        <f t="shared" si="194"/>
        <v>Twitter for Android</v>
      </c>
      <c r="L1068" s="13">
        <v>159</v>
      </c>
      <c r="M1068" s="13">
        <v>343</v>
      </c>
      <c r="N1068" s="13">
        <v>0</v>
      </c>
      <c r="O1068" s="15"/>
      <c r="P1068" s="6">
        <v>41623.993668981479</v>
      </c>
      <c r="Q1068" s="18" t="s">
        <v>1775</v>
      </c>
      <c r="R1068" s="19" t="s">
        <v>5310</v>
      </c>
      <c r="S1068" s="11"/>
      <c r="T1068" s="11"/>
      <c r="U1068" s="10" t="str">
        <f>HYPERLINK("https://pbs.twimg.com/profile_images/926829921883668482/24GLsqLZ.jpg","View")</f>
        <v>View</v>
      </c>
    </row>
    <row r="1069" spans="1:21" ht="91.8">
      <c r="A1069" s="6">
        <v>43441.758379629631</v>
      </c>
      <c r="B1069" s="7" t="str">
        <f>HYPERLINK("https://twitter.com/ivanrodig","@ivanrodig")</f>
        <v>@ivanrodig</v>
      </c>
      <c r="C1069" s="8" t="s">
        <v>2086</v>
      </c>
      <c r="D1069" s="9" t="s">
        <v>2087</v>
      </c>
      <c r="E1069" s="10" t="str">
        <f>HYPERLINK("https://twitter.com/ivanrodig/status/1071089975171735553","1071089975171735553")</f>
        <v>1071089975171735553</v>
      </c>
      <c r="F1069" s="18" t="s">
        <v>2088</v>
      </c>
      <c r="G1069" s="11"/>
      <c r="H1069" s="11"/>
      <c r="I1069" s="13">
        <v>2</v>
      </c>
      <c r="J1069" s="13">
        <v>0</v>
      </c>
      <c r="K1069" s="14" t="str">
        <f t="shared" si="194"/>
        <v>Twitter for Android</v>
      </c>
      <c r="L1069" s="13">
        <v>2129</v>
      </c>
      <c r="M1069" s="13">
        <v>4968</v>
      </c>
      <c r="N1069" s="13">
        <v>22</v>
      </c>
      <c r="O1069" s="15"/>
      <c r="P1069" s="6">
        <v>40620.468634259261</v>
      </c>
      <c r="Q1069" s="18" t="s">
        <v>307</v>
      </c>
      <c r="R1069" s="19" t="s">
        <v>2089</v>
      </c>
      <c r="S1069" s="11"/>
      <c r="T1069" s="11"/>
      <c r="U1069" s="10" t="str">
        <f>HYPERLINK("https://pbs.twimg.com/profile_images/747435498151550976/ElEPDrOm.jpg","View")</f>
        <v>View</v>
      </c>
    </row>
    <row r="1070" spans="1:21" ht="30.6">
      <c r="A1070" s="6">
        <v>43441.757673611108</v>
      </c>
      <c r="B1070" s="7" t="str">
        <f>HYPERLINK("https://twitter.com/Puyazo2","@Puyazo2")</f>
        <v>@Puyazo2</v>
      </c>
      <c r="C1070" s="8" t="s">
        <v>2092</v>
      </c>
      <c r="D1070" s="9" t="s">
        <v>2093</v>
      </c>
      <c r="E1070" s="10" t="str">
        <f>HYPERLINK("https://twitter.com/Puyazo2/status/1071089719969280001","1071089719969280001")</f>
        <v>1071089719969280001</v>
      </c>
      <c r="F1070" s="11"/>
      <c r="G1070" s="12" t="s">
        <v>2094</v>
      </c>
      <c r="H1070" s="11"/>
      <c r="I1070" s="13">
        <v>49</v>
      </c>
      <c r="J1070" s="13">
        <v>49</v>
      </c>
      <c r="K1070" s="14" t="str">
        <f t="shared" si="194"/>
        <v>Twitter for Android</v>
      </c>
      <c r="L1070" s="13">
        <v>1752</v>
      </c>
      <c r="M1070" s="13">
        <v>1621</v>
      </c>
      <c r="N1070" s="13">
        <v>2</v>
      </c>
      <c r="O1070" s="15"/>
      <c r="P1070" s="6">
        <v>43404.664039351846</v>
      </c>
      <c r="Q1070" s="18" t="s">
        <v>42</v>
      </c>
      <c r="R1070" s="19" t="s">
        <v>2096</v>
      </c>
      <c r="S1070" s="11"/>
      <c r="T1070" s="11"/>
      <c r="U1070" s="10" t="str">
        <f>HYPERLINK("https://pbs.twimg.com/profile_images/1057648510265372672/oAEa8M9d.jpg","View")</f>
        <v>View</v>
      </c>
    </row>
    <row r="1071" spans="1:21" ht="71.400000000000006">
      <c r="A1071" s="6">
        <v>43441.754050925927</v>
      </c>
      <c r="B1071" s="7" t="str">
        <f>HYPERLINK("https://twitter.com/HTopinao","@HTopinao")</f>
        <v>@HTopinao</v>
      </c>
      <c r="C1071" s="8" t="s">
        <v>2097</v>
      </c>
      <c r="D1071" s="9" t="s">
        <v>2098</v>
      </c>
      <c r="E1071" s="10" t="str">
        <f>HYPERLINK("https://twitter.com/HTopinao/status/1071088404438216704","1071088404438216704")</f>
        <v>1071088404438216704</v>
      </c>
      <c r="F1071" s="18" t="s">
        <v>2099</v>
      </c>
      <c r="G1071" s="11"/>
      <c r="H1071" s="11"/>
      <c r="I1071" s="13">
        <v>0</v>
      </c>
      <c r="J1071" s="13">
        <v>0</v>
      </c>
      <c r="K1071" s="14" t="str">
        <f>HYPERLINK("https://mobile.twitter.com","Twitter Lite")</f>
        <v>Twitter Lite</v>
      </c>
      <c r="L1071" s="13">
        <v>59</v>
      </c>
      <c r="M1071" s="13">
        <v>137</v>
      </c>
      <c r="N1071" s="13">
        <v>0</v>
      </c>
      <c r="O1071" s="15"/>
      <c r="P1071" s="6">
        <v>43363.402986111112</v>
      </c>
      <c r="Q1071" s="11"/>
      <c r="R1071" s="19" t="s">
        <v>2100</v>
      </c>
      <c r="S1071" s="11"/>
      <c r="T1071" s="11"/>
      <c r="U1071" s="10" t="str">
        <f>HYPERLINK("https://pbs.twimg.com/profile_images/1042684706184093697/dug--VSh.jpg","View")</f>
        <v>View</v>
      </c>
    </row>
    <row r="1072" spans="1:21" ht="51">
      <c r="A1072" s="6">
        <v>43441.752974537041</v>
      </c>
      <c r="B1072" s="7" t="str">
        <f>HYPERLINK("https://twitter.com/elLokoOnFire","@elLokoOnFire")</f>
        <v>@elLokoOnFire</v>
      </c>
      <c r="C1072" s="8" t="s">
        <v>2101</v>
      </c>
      <c r="D1072" s="9" t="s">
        <v>2102</v>
      </c>
      <c r="E1072" s="10" t="str">
        <f>HYPERLINK("https://twitter.com/elLokoOnFire/status/1071088016310046720","1071088016310046720")</f>
        <v>1071088016310046720</v>
      </c>
      <c r="F1072" s="11"/>
      <c r="G1072" s="11"/>
      <c r="H1072" s="11"/>
      <c r="I1072" s="13">
        <v>2</v>
      </c>
      <c r="J1072" s="13">
        <v>3</v>
      </c>
      <c r="K1072" s="14" t="str">
        <f>HYPERLINK("http://twitter.com/download/iphone","Twitter for iPhone")</f>
        <v>Twitter for iPhone</v>
      </c>
      <c r="L1072" s="13">
        <v>3214</v>
      </c>
      <c r="M1072" s="13">
        <v>2813</v>
      </c>
      <c r="N1072" s="13">
        <v>9</v>
      </c>
      <c r="O1072" s="15"/>
      <c r="P1072" s="6">
        <v>42794.544652777782</v>
      </c>
      <c r="Q1072" s="18" t="s">
        <v>2103</v>
      </c>
      <c r="R1072" s="19" t="s">
        <v>2104</v>
      </c>
      <c r="S1072" s="11"/>
      <c r="T1072" s="11"/>
      <c r="U1072" s="10" t="str">
        <f>HYPERLINK("https://pbs.twimg.com/profile_images/836569302023221250/KFiIuXuN.jpg","View")</f>
        <v>View</v>
      </c>
    </row>
    <row r="1073" spans="1:21" ht="40.799999999999997">
      <c r="A1073" s="6">
        <v>43441.752430555556</v>
      </c>
      <c r="B1073" s="7" t="str">
        <f>HYPERLINK("https://twitter.com/Famelica_legion","@Famelica_legion")</f>
        <v>@Famelica_legion</v>
      </c>
      <c r="C1073" s="8" t="s">
        <v>2107</v>
      </c>
      <c r="D1073" s="9" t="s">
        <v>2108</v>
      </c>
      <c r="E1073" s="10" t="str">
        <f>HYPERLINK("https://twitter.com/Famelica_legion/status/1071087819249065984","1071087819249065984")</f>
        <v>1071087819249065984</v>
      </c>
      <c r="F1073" s="12" t="s">
        <v>815</v>
      </c>
      <c r="G1073" s="11"/>
      <c r="H1073" s="11"/>
      <c r="I1073" s="13">
        <v>1</v>
      </c>
      <c r="J1073" s="13">
        <v>4</v>
      </c>
      <c r="K1073" s="14" t="str">
        <f t="shared" ref="K1073:K1074" si="195">HYPERLINK("http://twitter.com","Twitter Web Client")</f>
        <v>Twitter Web Client</v>
      </c>
      <c r="L1073" s="13">
        <v>57320</v>
      </c>
      <c r="M1073" s="13">
        <v>34746</v>
      </c>
      <c r="N1073" s="13">
        <v>368</v>
      </c>
      <c r="O1073" s="15"/>
      <c r="P1073" s="6">
        <v>40999.601747685185</v>
      </c>
      <c r="Q1073" s="11"/>
      <c r="R1073" s="19" t="s">
        <v>2109</v>
      </c>
      <c r="S1073" s="12" t="s">
        <v>2111</v>
      </c>
      <c r="T1073" s="11"/>
      <c r="U1073" s="10" t="str">
        <f>HYPERLINK("https://pbs.twimg.com/profile_images/875403697219620865/ni6ZDU-O.jpg","View")</f>
        <v>View</v>
      </c>
    </row>
    <row r="1074" spans="1:21" ht="30.6">
      <c r="A1074" s="6">
        <v>43441.752280092594</v>
      </c>
      <c r="B1074" s="7" t="str">
        <f>HYPERLINK("https://twitter.com/Soria_JM","@Soria_JM")</f>
        <v>@Soria_JM</v>
      </c>
      <c r="C1074" s="8" t="s">
        <v>2114</v>
      </c>
      <c r="D1074" s="9" t="s">
        <v>2115</v>
      </c>
      <c r="E1074" s="10" t="str">
        <f>HYPERLINK("https://twitter.com/Soria_JM/status/1071087765713051654","1071087765713051654")</f>
        <v>1071087765713051654</v>
      </c>
      <c r="F1074" s="11"/>
      <c r="G1074" s="12" t="s">
        <v>2116</v>
      </c>
      <c r="H1074" s="11"/>
      <c r="I1074" s="13">
        <v>0</v>
      </c>
      <c r="J1074" s="13">
        <v>0</v>
      </c>
      <c r="K1074" s="14" t="str">
        <f t="shared" si="195"/>
        <v>Twitter Web Client</v>
      </c>
      <c r="L1074" s="13">
        <v>123</v>
      </c>
      <c r="M1074" s="13">
        <v>407</v>
      </c>
      <c r="N1074" s="13">
        <v>0</v>
      </c>
      <c r="O1074" s="15"/>
      <c r="P1074" s="6">
        <v>40545.856956018521</v>
      </c>
      <c r="Q1074" s="18" t="s">
        <v>2117</v>
      </c>
      <c r="R1074" s="19" t="s">
        <v>2118</v>
      </c>
      <c r="S1074" s="12" t="s">
        <v>2119</v>
      </c>
      <c r="T1074" s="11"/>
      <c r="U1074" s="10" t="str">
        <f>HYPERLINK("https://pbs.twimg.com/profile_images/1025678447773999104/K7CMMrdc.jpg","View")</f>
        <v>View</v>
      </c>
    </row>
    <row r="1075" spans="1:21" ht="61.2">
      <c r="A1075" s="6">
        <v>43441.751886574071</v>
      </c>
      <c r="B1075" s="7" t="str">
        <f>HYPERLINK("https://twitter.com/anapferreiro","@anapferreiro")</f>
        <v>@anapferreiro</v>
      </c>
      <c r="C1075" s="8" t="s">
        <v>2121</v>
      </c>
      <c r="D1075" s="9" t="s">
        <v>2122</v>
      </c>
      <c r="E1075" s="10" t="str">
        <f>HYPERLINK("https://twitter.com/anapferreiro/status/1071087623005974532","1071087623005974532")</f>
        <v>1071087623005974532</v>
      </c>
      <c r="F1075" s="18" t="s">
        <v>2124</v>
      </c>
      <c r="G1075" s="11"/>
      <c r="H1075" s="11"/>
      <c r="I1075" s="13">
        <v>0</v>
      </c>
      <c r="J1075" s="13">
        <v>0</v>
      </c>
      <c r="K1075" s="14" t="str">
        <f>HYPERLINK("http://twitter.com/download/iphone","Twitter for iPhone")</f>
        <v>Twitter for iPhone</v>
      </c>
      <c r="L1075" s="13">
        <v>502</v>
      </c>
      <c r="M1075" s="13">
        <v>283</v>
      </c>
      <c r="N1075" s="13">
        <v>57</v>
      </c>
      <c r="O1075" s="15"/>
      <c r="P1075" s="6">
        <v>40662.024606481486</v>
      </c>
      <c r="Q1075" s="18" t="s">
        <v>1558</v>
      </c>
      <c r="R1075" s="19" t="s">
        <v>2127</v>
      </c>
      <c r="S1075" s="11"/>
      <c r="T1075" s="11"/>
      <c r="U1075" s="10" t="str">
        <f>HYPERLINK("https://pbs.twimg.com/profile_images/1054073238597394433/sGBZMwHI.jpg","View")</f>
        <v>View</v>
      </c>
    </row>
    <row r="1076" spans="1:21" ht="71.400000000000006">
      <c r="A1076" s="6">
        <v>43441.751863425925</v>
      </c>
      <c r="B1076" s="7" t="str">
        <f>HYPERLINK("https://twitter.com/AdaanPortela","@AdaanPortela")</f>
        <v>@AdaanPortela</v>
      </c>
      <c r="C1076" s="8" t="s">
        <v>5311</v>
      </c>
      <c r="D1076" s="9" t="s">
        <v>5312</v>
      </c>
      <c r="E1076" s="10" t="str">
        <f>HYPERLINK("https://twitter.com/AdaanPortela/status/1071087611358400513","1071087611358400513")</f>
        <v>1071087611358400513</v>
      </c>
      <c r="F1076" s="12" t="s">
        <v>5079</v>
      </c>
      <c r="G1076" s="12" t="s">
        <v>5080</v>
      </c>
      <c r="H1076" s="11"/>
      <c r="I1076" s="13">
        <v>0</v>
      </c>
      <c r="J1076" s="13">
        <v>2</v>
      </c>
      <c r="K1076" s="14" t="str">
        <f>HYPERLINK("http://twitter.com/download/android","Twitter for Android")</f>
        <v>Twitter for Android</v>
      </c>
      <c r="L1076" s="13">
        <v>383</v>
      </c>
      <c r="M1076" s="13">
        <v>763</v>
      </c>
      <c r="N1076" s="13">
        <v>8</v>
      </c>
      <c r="O1076" s="15"/>
      <c r="P1076" s="6">
        <v>42590.797766203701</v>
      </c>
      <c r="Q1076" s="18" t="s">
        <v>5313</v>
      </c>
      <c r="R1076" s="19" t="s">
        <v>5314</v>
      </c>
      <c r="S1076" s="11"/>
      <c r="T1076" s="11"/>
      <c r="U1076" s="10" t="str">
        <f>HYPERLINK("https://pbs.twimg.com/profile_images/1069386692077985792/Jp09f-Vm.jpg","View")</f>
        <v>View</v>
      </c>
    </row>
    <row r="1077" spans="1:21" ht="30.6">
      <c r="A1077" s="6">
        <v>43441.751736111109</v>
      </c>
      <c r="B1077" s="7" t="str">
        <f>HYPERLINK("https://twitter.com/publico_es","@publico_es")</f>
        <v>@publico_es</v>
      </c>
      <c r="C1077" s="8" t="s">
        <v>2131</v>
      </c>
      <c r="D1077" s="9" t="s">
        <v>2132</v>
      </c>
      <c r="E1077" s="10" t="str">
        <f>HYPERLINK("https://twitter.com/publico_es/status/1071087568236625920","1071087568236625920")</f>
        <v>1071087568236625920</v>
      </c>
      <c r="F1077" s="18" t="s">
        <v>2133</v>
      </c>
      <c r="G1077" s="11"/>
      <c r="H1077" s="11"/>
      <c r="I1077" s="13">
        <v>45</v>
      </c>
      <c r="J1077" s="13">
        <v>49</v>
      </c>
      <c r="K1077" s="14" t="str">
        <f>HYPERLINK("https://periscope.tv","Periscope")</f>
        <v>Periscope</v>
      </c>
      <c r="L1077" s="13">
        <v>913665</v>
      </c>
      <c r="M1077" s="13">
        <v>1457</v>
      </c>
      <c r="N1077" s="13">
        <v>14845</v>
      </c>
      <c r="O1077" s="16" t="s">
        <v>25</v>
      </c>
      <c r="P1077" s="6">
        <v>39779.559525462959</v>
      </c>
      <c r="Q1077" s="18" t="s">
        <v>100</v>
      </c>
      <c r="R1077" s="19" t="s">
        <v>2135</v>
      </c>
      <c r="S1077" s="12" t="s">
        <v>2136</v>
      </c>
      <c r="T1077" s="11"/>
      <c r="U1077" s="10" t="str">
        <f>HYPERLINK("https://pbs.twimg.com/profile_images/1048242435682422786/FdzZWHU8.jpg","View")</f>
        <v>View</v>
      </c>
    </row>
    <row r="1078" spans="1:21" ht="40.799999999999997">
      <c r="A1078" s="6">
        <v>43441.751250000001</v>
      </c>
      <c r="B1078" s="7" t="str">
        <f>HYPERLINK("https://twitter.com/sergioviciusval","@sergioviciusval")</f>
        <v>@sergioviciusval</v>
      </c>
      <c r="C1078" s="8" t="s">
        <v>2137</v>
      </c>
      <c r="D1078" s="9" t="s">
        <v>2138</v>
      </c>
      <c r="E1078" s="10" t="str">
        <f>HYPERLINK("https://twitter.com/sergioviciusval/status/1071087392558366721","1071087392558366721")</f>
        <v>1071087392558366721</v>
      </c>
      <c r="F1078" s="11"/>
      <c r="G1078" s="12" t="s">
        <v>2139</v>
      </c>
      <c r="H1078" s="11"/>
      <c r="I1078" s="13">
        <v>1</v>
      </c>
      <c r="J1078" s="13">
        <v>1</v>
      </c>
      <c r="K1078" s="14" t="str">
        <f t="shared" ref="K1078:K1079" si="196">HYPERLINK("http://twitter.com","Twitter Web Client")</f>
        <v>Twitter Web Client</v>
      </c>
      <c r="L1078" s="13">
        <v>177</v>
      </c>
      <c r="M1078" s="13">
        <v>355</v>
      </c>
      <c r="N1078" s="13">
        <v>1</v>
      </c>
      <c r="O1078" s="15"/>
      <c r="P1078" s="6">
        <v>42744.799016203702</v>
      </c>
      <c r="Q1078" s="11"/>
      <c r="R1078" s="19" t="s">
        <v>2140</v>
      </c>
      <c r="S1078" s="11"/>
      <c r="T1078" s="11"/>
      <c r="U1078" s="10" t="str">
        <f>HYPERLINK("https://pbs.twimg.com/profile_images/1027173912457752576/wjZ7BLwD.jpg","View")</f>
        <v>View</v>
      </c>
    </row>
    <row r="1079" spans="1:21" ht="40.799999999999997">
      <c r="A1079" s="6">
        <v>43441.750532407408</v>
      </c>
      <c r="B1079" s="7" t="str">
        <f>HYPERLINK("https://twitter.com/KarlacasChannel","@KarlacasChannel")</f>
        <v>@KarlacasChannel</v>
      </c>
      <c r="C1079" s="8" t="s">
        <v>2142</v>
      </c>
      <c r="D1079" s="9" t="s">
        <v>2143</v>
      </c>
      <c r="E1079" s="10" t="str">
        <f>HYPERLINK("https://twitter.com/KarlacasChannel/status/1071087130976403462","1071087130976403462")</f>
        <v>1071087130976403462</v>
      </c>
      <c r="F1079" s="12" t="s">
        <v>2145</v>
      </c>
      <c r="G1079" s="12" t="s">
        <v>2146</v>
      </c>
      <c r="H1079" s="11"/>
      <c r="I1079" s="13">
        <v>0</v>
      </c>
      <c r="J1079" s="13">
        <v>0</v>
      </c>
      <c r="K1079" s="14" t="str">
        <f t="shared" si="196"/>
        <v>Twitter Web Client</v>
      </c>
      <c r="L1079" s="13">
        <v>250</v>
      </c>
      <c r="M1079" s="13">
        <v>658</v>
      </c>
      <c r="N1079" s="13">
        <v>1</v>
      </c>
      <c r="O1079" s="15"/>
      <c r="P1079" s="6">
        <v>42173.803993055553</v>
      </c>
      <c r="Q1079" s="11"/>
      <c r="R1079" s="17"/>
      <c r="S1079" s="12" t="s">
        <v>2147</v>
      </c>
      <c r="T1079" s="11"/>
      <c r="U1079" s="10" t="str">
        <f>HYPERLINK("https://pbs.twimg.com/profile_images/803989453979209728/q3KGEaYj.jpg","View")</f>
        <v>View</v>
      </c>
    </row>
    <row r="1080" spans="1:21" ht="30.6">
      <c r="A1080" s="6">
        <v>43441.75001157407</v>
      </c>
      <c r="B1080" s="7" t="str">
        <f>HYPERLINK("https://twitter.com/publico_es","@publico_es")</f>
        <v>@publico_es</v>
      </c>
      <c r="C1080" s="8" t="s">
        <v>2131</v>
      </c>
      <c r="D1080" s="9" t="s">
        <v>2148</v>
      </c>
      <c r="E1080" s="10" t="str">
        <f>HYPERLINK("https://twitter.com/publico_es/status/1071086941838426113","1071086941838426113")</f>
        <v>1071086941838426113</v>
      </c>
      <c r="F1080" s="12" t="s">
        <v>2149</v>
      </c>
      <c r="G1080" s="12" t="s">
        <v>2150</v>
      </c>
      <c r="H1080" s="11"/>
      <c r="I1080" s="13">
        <v>8</v>
      </c>
      <c r="J1080" s="13">
        <v>8</v>
      </c>
      <c r="K1080" s="14" t="str">
        <f t="shared" ref="K1080:K1081" si="197">HYPERLINK("https://about.twitter.com/products/tweetdeck","TweetDeck")</f>
        <v>TweetDeck</v>
      </c>
      <c r="L1080" s="13">
        <v>913665</v>
      </c>
      <c r="M1080" s="13">
        <v>1457</v>
      </c>
      <c r="N1080" s="13">
        <v>14845</v>
      </c>
      <c r="O1080" s="16" t="s">
        <v>25</v>
      </c>
      <c r="P1080" s="6">
        <v>39779.559525462959</v>
      </c>
      <c r="Q1080" s="18" t="s">
        <v>100</v>
      </c>
      <c r="R1080" s="19" t="s">
        <v>2135</v>
      </c>
      <c r="S1080" s="12" t="s">
        <v>2136</v>
      </c>
      <c r="T1080" s="11"/>
      <c r="U1080" s="10" t="str">
        <f>HYPERLINK("https://pbs.twimg.com/profile_images/1048242435682422786/FdzZWHU8.jpg","View")</f>
        <v>View</v>
      </c>
    </row>
    <row r="1081" spans="1:21" ht="40.799999999999997">
      <c r="A1081" s="6">
        <v>43441.747916666667</v>
      </c>
      <c r="B1081" s="7" t="str">
        <f>HYPERLINK("https://twitter.com/tuerka_ovt","@tuerka_ovt")</f>
        <v>@tuerka_ovt</v>
      </c>
      <c r="C1081" s="8" t="s">
        <v>4972</v>
      </c>
      <c r="D1081" s="9" t="s">
        <v>5315</v>
      </c>
      <c r="E1081" s="10" t="str">
        <f>HYPERLINK("https://twitter.com/tuerka_ovt/status/1071086182505873409","1071086182505873409")</f>
        <v>1071086182505873409</v>
      </c>
      <c r="F1081" s="12" t="s">
        <v>5316</v>
      </c>
      <c r="G1081" s="11"/>
      <c r="H1081" s="11"/>
      <c r="I1081" s="13">
        <v>37</v>
      </c>
      <c r="J1081" s="13">
        <v>51</v>
      </c>
      <c r="K1081" s="14" t="str">
        <f t="shared" si="197"/>
        <v>TweetDeck</v>
      </c>
      <c r="L1081" s="13">
        <v>178587</v>
      </c>
      <c r="M1081" s="13">
        <v>8386</v>
      </c>
      <c r="N1081" s="13">
        <v>1908</v>
      </c>
      <c r="O1081" s="15"/>
      <c r="P1081" s="6">
        <v>40496.799328703702</v>
      </c>
      <c r="Q1081" s="18" t="s">
        <v>307</v>
      </c>
      <c r="R1081" s="19" t="s">
        <v>4975</v>
      </c>
      <c r="S1081" s="11"/>
      <c r="T1081" s="11"/>
      <c r="U1081" s="10" t="str">
        <f>HYPERLINK("https://pbs.twimg.com/profile_images/974345759188504580/InpH7cQq.jpg","View")</f>
        <v>View</v>
      </c>
    </row>
    <row r="1082" spans="1:21" ht="40.799999999999997">
      <c r="A1082" s="6">
        <v>43441.746666666666</v>
      </c>
      <c r="B1082" s="7" t="str">
        <f>HYPERLINK("https://twitter.com/NuriaRevolucion","@NuriaRevolucion")</f>
        <v>@NuriaRevolucion</v>
      </c>
      <c r="C1082" s="8" t="s">
        <v>3642</v>
      </c>
      <c r="D1082" s="9" t="s">
        <v>879</v>
      </c>
      <c r="E1082" s="10" t="str">
        <f>HYPERLINK("https://twitter.com/NuriaRevolucion/status/1071085729357406210","1071085729357406210")</f>
        <v>1071085729357406210</v>
      </c>
      <c r="F1082" s="12" t="s">
        <v>881</v>
      </c>
      <c r="G1082" s="11"/>
      <c r="H1082" s="11"/>
      <c r="I1082" s="13">
        <v>3</v>
      </c>
      <c r="J1082" s="13">
        <v>1</v>
      </c>
      <c r="K1082" s="14" t="str">
        <f>HYPERLINK("https://buffer.com","Buffer")</f>
        <v>Buffer</v>
      </c>
      <c r="L1082" s="13">
        <v>323</v>
      </c>
      <c r="M1082" s="13">
        <v>660</v>
      </c>
      <c r="N1082" s="13">
        <v>4</v>
      </c>
      <c r="O1082" s="15"/>
      <c r="P1082" s="6">
        <v>42556.774155092593</v>
      </c>
      <c r="Q1082" s="11"/>
      <c r="R1082" s="19" t="s">
        <v>3644</v>
      </c>
      <c r="S1082" s="11"/>
      <c r="T1082" s="11"/>
      <c r="U1082" s="10" t="str">
        <f>HYPERLINK("https://pbs.twimg.com/profile_images/960902908555513858/6Eu1b-ME.jpg","View")</f>
        <v>View</v>
      </c>
    </row>
    <row r="1083" spans="1:21" ht="20.399999999999999">
      <c r="A1083" s="6">
        <v>43441.746655092589</v>
      </c>
      <c r="B1083" s="7" t="str">
        <f>HYPERLINK("https://twitter.com/lasvocesdelpue","@lasvocesdelpue")</f>
        <v>@lasvocesdelpue</v>
      </c>
      <c r="C1083" s="8" t="s">
        <v>3345</v>
      </c>
      <c r="D1083" s="9" t="s">
        <v>4903</v>
      </c>
      <c r="E1083" s="10" t="str">
        <f>HYPERLINK("https://twitter.com/lasvocesdelpue/status/1071085725578420226","1071085725578420226")</f>
        <v>1071085725578420226</v>
      </c>
      <c r="F1083" s="12" t="s">
        <v>4904</v>
      </c>
      <c r="G1083" s="11"/>
      <c r="H1083" s="11"/>
      <c r="I1083" s="13">
        <v>2</v>
      </c>
      <c r="J1083" s="13">
        <v>2</v>
      </c>
      <c r="K1083" s="14" t="str">
        <f>HYPERLINK("http://twitter.com","Twitter Web Client")</f>
        <v>Twitter Web Client</v>
      </c>
      <c r="L1083" s="13">
        <v>4154</v>
      </c>
      <c r="M1083" s="13">
        <v>92</v>
      </c>
      <c r="N1083" s="13">
        <v>89</v>
      </c>
      <c r="O1083" s="15"/>
      <c r="P1083" s="6">
        <v>41569.777789351851</v>
      </c>
      <c r="Q1083" s="18" t="s">
        <v>42</v>
      </c>
      <c r="R1083" s="19" t="s">
        <v>3351</v>
      </c>
      <c r="S1083" s="12" t="s">
        <v>3352</v>
      </c>
      <c r="T1083" s="11"/>
      <c r="U1083" s="10" t="str">
        <f>HYPERLINK("https://pbs.twimg.com/profile_images/696334914455781377/Ef6C__Hr.png","View")</f>
        <v>View</v>
      </c>
    </row>
    <row r="1084" spans="1:21" ht="51">
      <c r="A1084" s="6">
        <v>43441.746516203704</v>
      </c>
      <c r="B1084" s="7" t="str">
        <f>HYPERLINK("https://twitter.com/GargokMasanqa","@GargokMasanqa")</f>
        <v>@GargokMasanqa</v>
      </c>
      <c r="C1084" s="8" t="s">
        <v>5317</v>
      </c>
      <c r="D1084" s="9" t="s">
        <v>5318</v>
      </c>
      <c r="E1084" s="10" t="str">
        <f>HYPERLINK("https://twitter.com/GargokMasanqa/status/1071085677117390848","1071085677117390848")</f>
        <v>1071085677117390848</v>
      </c>
      <c r="F1084" s="11"/>
      <c r="G1084" s="11"/>
      <c r="H1084" s="11"/>
      <c r="I1084" s="13">
        <v>0</v>
      </c>
      <c r="J1084" s="13">
        <v>0</v>
      </c>
      <c r="K1084" s="14" t="str">
        <f>HYPERLINK("http://twitter.com/download/iphone","Twitter for iPhone")</f>
        <v>Twitter for iPhone</v>
      </c>
      <c r="L1084" s="13">
        <v>15</v>
      </c>
      <c r="M1084" s="13">
        <v>92</v>
      </c>
      <c r="N1084" s="13">
        <v>2</v>
      </c>
      <c r="O1084" s="15"/>
      <c r="P1084" s="6">
        <v>42169.810312500005</v>
      </c>
      <c r="Q1084" s="11"/>
      <c r="R1084" s="17"/>
      <c r="S1084" s="11"/>
      <c r="T1084" s="11"/>
      <c r="U1084" s="10" t="str">
        <f>HYPERLINK("https://pbs.twimg.com/profile_images/610137936147968001/89RakUzi.jpg","View")</f>
        <v>View</v>
      </c>
    </row>
    <row r="1085" spans="1:21" ht="51">
      <c r="A1085" s="6">
        <v>43441.745312500003</v>
      </c>
      <c r="B1085" s="7" t="str">
        <f>HYPERLINK("https://twitter.com/caval100","@caval100")</f>
        <v>@caval100</v>
      </c>
      <c r="C1085" s="8" t="s">
        <v>4057</v>
      </c>
      <c r="D1085" s="9" t="s">
        <v>5319</v>
      </c>
      <c r="E1085" s="10" t="str">
        <f>HYPERLINK("https://twitter.com/caval100/status/1071085239290740736","1071085239290740736")</f>
        <v>1071085239290740736</v>
      </c>
      <c r="F1085" s="12" t="s">
        <v>5320</v>
      </c>
      <c r="G1085" s="11"/>
      <c r="H1085" s="11"/>
      <c r="I1085" s="13">
        <v>1</v>
      </c>
      <c r="J1085" s="13">
        <v>0</v>
      </c>
      <c r="K1085" s="14" t="str">
        <f>HYPERLINK("http://twitter.com","Twitter Web Client")</f>
        <v>Twitter Web Client</v>
      </c>
      <c r="L1085" s="13">
        <v>119343</v>
      </c>
      <c r="M1085" s="13">
        <v>94000</v>
      </c>
      <c r="N1085" s="13">
        <v>982</v>
      </c>
      <c r="O1085" s="15"/>
      <c r="P1085" s="6">
        <v>40079.437094907407</v>
      </c>
      <c r="Q1085" s="18" t="s">
        <v>2835</v>
      </c>
      <c r="R1085" s="19" t="s">
        <v>4060</v>
      </c>
      <c r="S1085" s="12" t="s">
        <v>4061</v>
      </c>
      <c r="T1085" s="11"/>
      <c r="U1085" s="10" t="str">
        <f>HYPERLINK("https://pbs.twimg.com/profile_images/965350678301429760/uvGI7g8U.jpg","View")</f>
        <v>View</v>
      </c>
    </row>
    <row r="1086" spans="1:21" ht="20.399999999999999">
      <c r="A1086" s="6">
        <v>43441.744467592594</v>
      </c>
      <c r="B1086" s="7" t="str">
        <f>HYPERLINK("https://twitter.com/elarbeyu","@elarbeyu")</f>
        <v>@elarbeyu</v>
      </c>
      <c r="C1086" s="8" t="s">
        <v>5321</v>
      </c>
      <c r="D1086" s="9" t="s">
        <v>5322</v>
      </c>
      <c r="E1086" s="10" t="str">
        <f>HYPERLINK("https://twitter.com/elarbeyu/status/1071084933530222593","1071084933530222593")</f>
        <v>1071084933530222593</v>
      </c>
      <c r="F1086" s="12" t="s">
        <v>5323</v>
      </c>
      <c r="G1086" s="11"/>
      <c r="H1086" s="11"/>
      <c r="I1086" s="13">
        <v>0</v>
      </c>
      <c r="J1086" s="13">
        <v>0</v>
      </c>
      <c r="K1086" s="14" t="str">
        <f>HYPERLINK("http://www.facebook.com/twitter","Facebook")</f>
        <v>Facebook</v>
      </c>
      <c r="L1086" s="13">
        <v>862</v>
      </c>
      <c r="M1086" s="13">
        <v>2246</v>
      </c>
      <c r="N1086" s="13">
        <v>28</v>
      </c>
      <c r="O1086" s="15"/>
      <c r="P1086" s="6">
        <v>42009.633981481486</v>
      </c>
      <c r="Q1086" s="18" t="s">
        <v>569</v>
      </c>
      <c r="R1086" s="19" t="s">
        <v>5324</v>
      </c>
      <c r="S1086" s="11"/>
      <c r="T1086" s="11"/>
      <c r="U1086" s="10" t="str">
        <f>HYPERLINK("https://pbs.twimg.com/profile_images/874302170560114690/jgMIFW6o.jpg","View")</f>
        <v>View</v>
      </c>
    </row>
    <row r="1087" spans="1:21" ht="30.6">
      <c r="A1087" s="6">
        <v>43441.744074074071</v>
      </c>
      <c r="B1087" s="7" t="str">
        <f>HYPERLINK("https://twitter.com/ChinoConAfro","@ChinoConAfro")</f>
        <v>@ChinoConAfro</v>
      </c>
      <c r="C1087" s="8" t="s">
        <v>2151</v>
      </c>
      <c r="D1087" s="9" t="s">
        <v>2152</v>
      </c>
      <c r="E1087" s="10" t="str">
        <f>HYPERLINK("https://twitter.com/ChinoConAfro/status/1071084790730903552","1071084790730903552")</f>
        <v>1071084790730903552</v>
      </c>
      <c r="F1087" s="12" t="s">
        <v>2153</v>
      </c>
      <c r="G1087" s="11"/>
      <c r="H1087" s="11"/>
      <c r="I1087" s="13">
        <v>0</v>
      </c>
      <c r="J1087" s="13">
        <v>1</v>
      </c>
      <c r="K1087" s="14" t="str">
        <f>HYPERLINK("http://twitter.com/download/iphone","Twitter for iPhone")</f>
        <v>Twitter for iPhone</v>
      </c>
      <c r="L1087" s="13">
        <v>765</v>
      </c>
      <c r="M1087" s="13">
        <v>434</v>
      </c>
      <c r="N1087" s="13">
        <v>10</v>
      </c>
      <c r="O1087" s="15"/>
      <c r="P1087" s="6">
        <v>39999.076863425929</v>
      </c>
      <c r="Q1087" s="18" t="s">
        <v>2154</v>
      </c>
      <c r="R1087" s="19" t="s">
        <v>2155</v>
      </c>
      <c r="S1087" s="11"/>
      <c r="T1087" s="11"/>
      <c r="U1087" s="10" t="str">
        <f>HYPERLINK("https://pbs.twimg.com/profile_images/860235892451160064/jqOSikWe.jpg","View")</f>
        <v>View</v>
      </c>
    </row>
    <row r="1088" spans="1:21" ht="20.399999999999999">
      <c r="A1088" s="6">
        <v>43441.743564814809</v>
      </c>
      <c r="B1088" s="7" t="str">
        <f>HYPERLINK("https://twitter.com/GcJuanan","@GcJuanan")</f>
        <v>@GcJuanan</v>
      </c>
      <c r="C1088" s="8" t="s">
        <v>5325</v>
      </c>
      <c r="D1088" s="9" t="s">
        <v>5326</v>
      </c>
      <c r="E1088" s="10" t="str">
        <f>HYPERLINK("https://twitter.com/GcJuanan/status/1071084604394659842","1071084604394659842")</f>
        <v>1071084604394659842</v>
      </c>
      <c r="F1088" s="12" t="s">
        <v>5327</v>
      </c>
      <c r="G1088" s="11"/>
      <c r="H1088" s="11"/>
      <c r="I1088" s="13">
        <v>0</v>
      </c>
      <c r="J1088" s="13">
        <v>0</v>
      </c>
      <c r="K1088" s="14" t="str">
        <f>HYPERLINK("https://www.google.com/","Google")</f>
        <v>Google</v>
      </c>
      <c r="L1088" s="13">
        <v>165</v>
      </c>
      <c r="M1088" s="13">
        <v>107</v>
      </c>
      <c r="N1088" s="13">
        <v>0</v>
      </c>
      <c r="O1088" s="15"/>
      <c r="P1088" s="6">
        <v>41341.905208333337</v>
      </c>
      <c r="Q1088" s="18" t="s">
        <v>5328</v>
      </c>
      <c r="R1088" s="17"/>
      <c r="S1088" s="11"/>
      <c r="T1088" s="11"/>
      <c r="U1088" s="10" t="str">
        <f>HYPERLINK("https://pbs.twimg.com/profile_images/958302523755986944/8cfBTA1K.jpg","View")</f>
        <v>View</v>
      </c>
    </row>
    <row r="1089" spans="1:21" ht="30.6">
      <c r="A1089" s="6">
        <v>43441.742893518516</v>
      </c>
      <c r="B1089" s="7" t="str">
        <f>HYPERLINK("https://twitter.com/lesclafitsueca","@lesclafitsueca")</f>
        <v>@lesclafitsueca</v>
      </c>
      <c r="C1089" s="8" t="s">
        <v>5329</v>
      </c>
      <c r="D1089" s="9" t="s">
        <v>5330</v>
      </c>
      <c r="E1089" s="10" t="str">
        <f>HYPERLINK("https://twitter.com/lesclafitsueca/status/1071084362899308545","1071084362899308545")</f>
        <v>1071084362899308545</v>
      </c>
      <c r="F1089" s="11"/>
      <c r="G1089" s="11"/>
      <c r="H1089" s="11"/>
      <c r="I1089" s="13">
        <v>0</v>
      </c>
      <c r="J1089" s="13">
        <v>0</v>
      </c>
      <c r="K1089" s="14" t="str">
        <f>HYPERLINK("http://twitter.com/download/iphone","Twitter for iPhone")</f>
        <v>Twitter for iPhone</v>
      </c>
      <c r="L1089" s="13">
        <v>110</v>
      </c>
      <c r="M1089" s="13">
        <v>121</v>
      </c>
      <c r="N1089" s="13">
        <v>2</v>
      </c>
      <c r="O1089" s="15"/>
      <c r="P1089" s="6">
        <v>42273.677488425921</v>
      </c>
      <c r="Q1089" s="11"/>
      <c r="R1089" s="19" t="s">
        <v>5331</v>
      </c>
      <c r="S1089" s="11"/>
      <c r="T1089" s="11"/>
      <c r="U1089" s="10" t="str">
        <f>HYPERLINK("https://pbs.twimg.com/profile_images/921488598897217537/44yptdWr.jpg","View")</f>
        <v>View</v>
      </c>
    </row>
    <row r="1090" spans="1:21" ht="30.6">
      <c r="A1090" s="6">
        <v>43441.741793981477</v>
      </c>
      <c r="B1090" s="7" t="str">
        <f>HYPERLINK("https://twitter.com/EstulinDaniel","@EstulinDaniel")</f>
        <v>@EstulinDaniel</v>
      </c>
      <c r="C1090" s="8" t="s">
        <v>5332</v>
      </c>
      <c r="D1090" s="9" t="s">
        <v>5333</v>
      </c>
      <c r="E1090" s="10" t="str">
        <f>HYPERLINK("https://twitter.com/EstulinDaniel/status/1071083963253321728","1071083963253321728")</f>
        <v>1071083963253321728</v>
      </c>
      <c r="F1090" s="11"/>
      <c r="G1090" s="12" t="s">
        <v>5334</v>
      </c>
      <c r="H1090" s="11"/>
      <c r="I1090" s="13">
        <v>4</v>
      </c>
      <c r="J1090" s="13">
        <v>11</v>
      </c>
      <c r="K1090" s="14" t="str">
        <f>HYPERLINK("http://twitter.com/download/android","Twitter for Android")</f>
        <v>Twitter for Android</v>
      </c>
      <c r="L1090" s="13">
        <v>19502</v>
      </c>
      <c r="M1090" s="13">
        <v>501</v>
      </c>
      <c r="N1090" s="13">
        <v>330</v>
      </c>
      <c r="O1090" s="15"/>
      <c r="P1090" s="6">
        <v>41619.837673611109</v>
      </c>
      <c r="Q1090" s="18" t="s">
        <v>5335</v>
      </c>
      <c r="R1090" s="19" t="s">
        <v>5336</v>
      </c>
      <c r="S1090" s="12" t="s">
        <v>5337</v>
      </c>
      <c r="T1090" s="11"/>
      <c r="U1090" s="10" t="str">
        <f>HYPERLINK("https://pbs.twimg.com/profile_images/961058688722071552/6E_wXuAa.jpg","View")</f>
        <v>View</v>
      </c>
    </row>
    <row r="1091" spans="1:21" ht="20.399999999999999">
      <c r="A1091" s="6">
        <v>43441.740798611107</v>
      </c>
      <c r="B1091" s="7" t="str">
        <f>HYPERLINK("https://twitter.com/LAREVUELO53","@LAREVUELO53")</f>
        <v>@LAREVUELO53</v>
      </c>
      <c r="C1091" s="8" t="s">
        <v>4694</v>
      </c>
      <c r="D1091" s="9" t="s">
        <v>5090</v>
      </c>
      <c r="E1091" s="10" t="str">
        <f>HYPERLINK("https://twitter.com/LAREVUELO53/status/1071083601498959872","1071083601498959872")</f>
        <v>1071083601498959872</v>
      </c>
      <c r="F1091" s="12" t="s">
        <v>5091</v>
      </c>
      <c r="G1091" s="11"/>
      <c r="H1091" s="11"/>
      <c r="I1091" s="13">
        <v>0</v>
      </c>
      <c r="J1091" s="13">
        <v>0</v>
      </c>
      <c r="K1091" s="14" t="str">
        <f t="shared" ref="K1091:K1092" si="198">HYPERLINK("http://twitter.com","Twitter Web Client")</f>
        <v>Twitter Web Client</v>
      </c>
      <c r="L1091" s="13">
        <v>415</v>
      </c>
      <c r="M1091" s="13">
        <v>1519</v>
      </c>
      <c r="N1091" s="13">
        <v>4</v>
      </c>
      <c r="O1091" s="15"/>
      <c r="P1091" s="6">
        <v>40681.9059375</v>
      </c>
      <c r="Q1091" s="18" t="s">
        <v>1637</v>
      </c>
      <c r="R1091" s="17"/>
      <c r="S1091" s="12" t="s">
        <v>4697</v>
      </c>
      <c r="T1091" s="11"/>
      <c r="U1091" s="10" t="str">
        <f>HYPERLINK("https://pbs.twimg.com/profile_images/719705597436960769/UB_JVe0J.jpg","View")</f>
        <v>View</v>
      </c>
    </row>
    <row r="1092" spans="1:21" ht="61.2">
      <c r="A1092" s="6">
        <v>43441.739016203705</v>
      </c>
      <c r="B1092" s="7" t="str">
        <f>HYPERLINK("https://twitter.com/jeronimoaznar","@jeronimoaznar")</f>
        <v>@jeronimoaznar</v>
      </c>
      <c r="C1092" s="8" t="s">
        <v>2156</v>
      </c>
      <c r="D1092" s="9" t="s">
        <v>2157</v>
      </c>
      <c r="E1092" s="10" t="str">
        <f>HYPERLINK("https://twitter.com/jeronimoaznar/status/1071082956817661953","1071082956817661953")</f>
        <v>1071082956817661953</v>
      </c>
      <c r="F1092" s="11"/>
      <c r="G1092" s="12" t="s">
        <v>2158</v>
      </c>
      <c r="H1092" s="11"/>
      <c r="I1092" s="13">
        <v>19</v>
      </c>
      <c r="J1092" s="13">
        <v>10</v>
      </c>
      <c r="K1092" s="14" t="str">
        <f t="shared" si="198"/>
        <v>Twitter Web Client</v>
      </c>
      <c r="L1092" s="13">
        <v>59</v>
      </c>
      <c r="M1092" s="13">
        <v>99</v>
      </c>
      <c r="N1092" s="13">
        <v>0</v>
      </c>
      <c r="O1092" s="15"/>
      <c r="P1092" s="6">
        <v>40599.709803240738</v>
      </c>
      <c r="Q1092" s="18" t="s">
        <v>1430</v>
      </c>
      <c r="R1092" s="17"/>
      <c r="S1092" s="11"/>
      <c r="T1092" s="11"/>
      <c r="U1092" s="10" t="str">
        <f>HYPERLINK("https://pbs.twimg.com/profile_images/1067748687265316864/jfTgUoYF.jpg","View")</f>
        <v>View</v>
      </c>
    </row>
    <row r="1093" spans="1:21" ht="20.399999999999999">
      <c r="A1093" s="6">
        <v>43441.737187499995</v>
      </c>
      <c r="B1093" s="7" t="str">
        <f>HYPERLINK("https://twitter.com/TorradoCFC","@TorradoCFC")</f>
        <v>@TorradoCFC</v>
      </c>
      <c r="C1093" s="8" t="s">
        <v>5338</v>
      </c>
      <c r="D1093" s="9" t="s">
        <v>5339</v>
      </c>
      <c r="E1093" s="10" t="str">
        <f>HYPERLINK("https://twitter.com/TorradoCFC/status/1071082296307007488","1071082296307007488")</f>
        <v>1071082296307007488</v>
      </c>
      <c r="F1093" s="12" t="s">
        <v>3681</v>
      </c>
      <c r="G1093" s="12" t="s">
        <v>3682</v>
      </c>
      <c r="H1093" s="11"/>
      <c r="I1093" s="13">
        <v>0</v>
      </c>
      <c r="J1093" s="13">
        <v>1</v>
      </c>
      <c r="K1093" s="14" t="str">
        <f>HYPERLINK("http://twitter.com/download/android","Twitter for Android")</f>
        <v>Twitter for Android</v>
      </c>
      <c r="L1093" s="13">
        <v>501</v>
      </c>
      <c r="M1093" s="13">
        <v>1107</v>
      </c>
      <c r="N1093" s="13">
        <v>2</v>
      </c>
      <c r="O1093" s="15"/>
      <c r="P1093" s="6">
        <v>40620.930578703701</v>
      </c>
      <c r="Q1093" s="18" t="s">
        <v>5340</v>
      </c>
      <c r="R1093" s="19" t="s">
        <v>5341</v>
      </c>
      <c r="S1093" s="11"/>
      <c r="T1093" s="11"/>
      <c r="U1093" s="10" t="str">
        <f>HYPERLINK("https://pbs.twimg.com/profile_images/926832762320953345/dMaXIJR5.jpg","View")</f>
        <v>View</v>
      </c>
    </row>
    <row r="1094" spans="1:21" ht="30.6">
      <c r="A1094" s="6">
        <v>43441.737141203703</v>
      </c>
      <c r="B1094" s="7" t="str">
        <f>HYPERLINK("https://twitter.com/arturelpayaso2","@arturelpayaso2")</f>
        <v>@arturelpayaso2</v>
      </c>
      <c r="C1094" s="8" t="s">
        <v>5342</v>
      </c>
      <c r="D1094" s="9" t="s">
        <v>5343</v>
      </c>
      <c r="E1094" s="10" t="str">
        <f>HYPERLINK("https://twitter.com/arturelpayaso2/status/1071082277776576512","1071082277776576512")</f>
        <v>1071082277776576512</v>
      </c>
      <c r="F1094" s="11"/>
      <c r="G1094" s="12" t="s">
        <v>5344</v>
      </c>
      <c r="H1094" s="11"/>
      <c r="I1094" s="13">
        <v>48</v>
      </c>
      <c r="J1094" s="13">
        <v>77</v>
      </c>
      <c r="K1094" s="14" t="str">
        <f>HYPERLINK("http://twitter.com/download/iphone","Twitter for iPhone")</f>
        <v>Twitter for iPhone</v>
      </c>
      <c r="L1094" s="13">
        <v>22803</v>
      </c>
      <c r="M1094" s="13">
        <v>4956</v>
      </c>
      <c r="N1094" s="13">
        <v>143</v>
      </c>
      <c r="O1094" s="15"/>
      <c r="P1094" s="6">
        <v>42514.717685185184</v>
      </c>
      <c r="Q1094" s="18" t="s">
        <v>5345</v>
      </c>
      <c r="R1094" s="19" t="s">
        <v>5346</v>
      </c>
      <c r="S1094" s="11"/>
      <c r="T1094" s="11"/>
      <c r="U1094" s="10" t="str">
        <f>HYPERLINK("https://pbs.twimg.com/profile_images/1008798326878343168/_PyUUais.jpg","View")</f>
        <v>View</v>
      </c>
    </row>
    <row r="1095" spans="1:21" ht="30.6">
      <c r="A1095" s="6">
        <v>43441.736909722225</v>
      </c>
      <c r="B1095" s="7" t="str">
        <f>HYPERLINK("https://twitter.com/maikolt77","@maikolt77")</f>
        <v>@maikolt77</v>
      </c>
      <c r="C1095" s="8" t="s">
        <v>5347</v>
      </c>
      <c r="D1095" s="9" t="s">
        <v>5348</v>
      </c>
      <c r="E1095" s="10" t="str">
        <f>HYPERLINK("https://twitter.com/maikolt77/status/1071082195811516416","1071082195811516416")</f>
        <v>1071082195811516416</v>
      </c>
      <c r="F1095" s="11"/>
      <c r="G1095" s="12" t="s">
        <v>5349</v>
      </c>
      <c r="H1095" s="11"/>
      <c r="I1095" s="13">
        <v>0</v>
      </c>
      <c r="J1095" s="13">
        <v>2</v>
      </c>
      <c r="K1095" s="14" t="str">
        <f>HYPERLINK("http://twitter.com/download/android","Twitter for Android")</f>
        <v>Twitter for Android</v>
      </c>
      <c r="L1095" s="13">
        <v>460</v>
      </c>
      <c r="M1095" s="13">
        <v>360</v>
      </c>
      <c r="N1095" s="13">
        <v>8</v>
      </c>
      <c r="O1095" s="15"/>
      <c r="P1095" s="6">
        <v>41948.97488425926</v>
      </c>
      <c r="Q1095" s="18" t="s">
        <v>569</v>
      </c>
      <c r="R1095" s="19" t="s">
        <v>5350</v>
      </c>
      <c r="S1095" s="12" t="s">
        <v>5351</v>
      </c>
      <c r="T1095" s="11"/>
      <c r="U1095" s="10" t="str">
        <f>HYPERLINK("https://pbs.twimg.com/profile_images/1068099778402283520/3UpxOjfB.jpg","View")</f>
        <v>View</v>
      </c>
    </row>
    <row r="1096" spans="1:21" ht="20.399999999999999">
      <c r="A1096" s="6">
        <v>43441.73600694444</v>
      </c>
      <c r="B1096" s="7" t="str">
        <f>HYPERLINK("https://twitter.com/pepequique69","@pepequique69")</f>
        <v>@pepequique69</v>
      </c>
      <c r="C1096" s="8" t="s">
        <v>5352</v>
      </c>
      <c r="D1096" s="9" t="s">
        <v>5353</v>
      </c>
      <c r="E1096" s="10" t="str">
        <f>HYPERLINK("https://twitter.com/pepequique69/status/1071081865547800578","1071081865547800578")</f>
        <v>1071081865547800578</v>
      </c>
      <c r="F1096" s="12" t="s">
        <v>5354</v>
      </c>
      <c r="G1096" s="11"/>
      <c r="H1096" s="11"/>
      <c r="I1096" s="13">
        <v>0</v>
      </c>
      <c r="J1096" s="13">
        <v>0</v>
      </c>
      <c r="K1096" s="14" t="str">
        <f>HYPERLINK("http://www.facebook.com/twitter","Facebook")</f>
        <v>Facebook</v>
      </c>
      <c r="L1096" s="13">
        <v>31</v>
      </c>
      <c r="M1096" s="13">
        <v>920</v>
      </c>
      <c r="N1096" s="13">
        <v>1</v>
      </c>
      <c r="O1096" s="15"/>
      <c r="P1096" s="6">
        <v>40805.49622685185</v>
      </c>
      <c r="Q1096" s="11"/>
      <c r="R1096" s="17"/>
      <c r="S1096" s="11"/>
      <c r="T1096" s="11"/>
      <c r="U1096" s="16" t="s">
        <v>191</v>
      </c>
    </row>
    <row r="1097" spans="1:21" ht="112.2">
      <c r="A1097" s="6">
        <v>43441.732430555552</v>
      </c>
      <c r="B1097" s="7" t="str">
        <f>HYPERLINK("https://twitter.com/rosira_rosi","@rosira_rosi")</f>
        <v>@rosira_rosi</v>
      </c>
      <c r="C1097" s="8" t="s">
        <v>2164</v>
      </c>
      <c r="D1097" s="9" t="s">
        <v>2165</v>
      </c>
      <c r="E1097" s="10" t="str">
        <f>HYPERLINK("https://twitter.com/rosira_rosi/status/1071080569168117760","1071080569168117760")</f>
        <v>1071080569168117760</v>
      </c>
      <c r="F1097" s="12" t="s">
        <v>2166</v>
      </c>
      <c r="G1097" s="11"/>
      <c r="H1097" s="11"/>
      <c r="I1097" s="13">
        <v>3</v>
      </c>
      <c r="J1097" s="13">
        <v>2</v>
      </c>
      <c r="K1097" s="14" t="str">
        <f t="shared" ref="K1097:K1098" si="199">HYPERLINK("http://twitter.com/download/iphone","Twitter for iPhone")</f>
        <v>Twitter for iPhone</v>
      </c>
      <c r="L1097" s="13">
        <v>7102</v>
      </c>
      <c r="M1097" s="13">
        <v>7645</v>
      </c>
      <c r="N1097" s="13">
        <v>99</v>
      </c>
      <c r="O1097" s="15"/>
      <c r="P1097" s="6">
        <v>41960.037627314814</v>
      </c>
      <c r="Q1097" s="18" t="s">
        <v>41</v>
      </c>
      <c r="R1097" s="17"/>
      <c r="S1097" s="11"/>
      <c r="T1097" s="11"/>
      <c r="U1097" s="10" t="str">
        <f>HYPERLINK("https://pbs.twimg.com/profile_images/555449985941389312/emNF1nmb.jpeg","View")</f>
        <v>View</v>
      </c>
    </row>
    <row r="1098" spans="1:21" ht="81.599999999999994">
      <c r="A1098" s="6">
        <v>43441.732418981483</v>
      </c>
      <c r="B1098" s="7" t="str">
        <f>HYPERLINK("https://twitter.com/FG72373327","@FG72373327")</f>
        <v>@FG72373327</v>
      </c>
      <c r="C1098" s="8" t="s">
        <v>5355</v>
      </c>
      <c r="D1098" s="9" t="s">
        <v>5356</v>
      </c>
      <c r="E1098" s="10" t="str">
        <f>HYPERLINK("https://twitter.com/FG72373327/status/1071080567037341696","1071080567037341696")</f>
        <v>1071080567037341696</v>
      </c>
      <c r="F1098" s="12" t="s">
        <v>5357</v>
      </c>
      <c r="G1098" s="12" t="s">
        <v>5358</v>
      </c>
      <c r="H1098" s="11"/>
      <c r="I1098" s="13">
        <v>0</v>
      </c>
      <c r="J1098" s="13">
        <v>0</v>
      </c>
      <c r="K1098" s="14" t="str">
        <f t="shared" si="199"/>
        <v>Twitter for iPhone</v>
      </c>
      <c r="L1098" s="13">
        <v>888</v>
      </c>
      <c r="M1098" s="13">
        <v>926</v>
      </c>
      <c r="N1098" s="13">
        <v>6</v>
      </c>
      <c r="O1098" s="15"/>
      <c r="P1098" s="6">
        <v>42977.396006944444</v>
      </c>
      <c r="Q1098" s="18" t="s">
        <v>41</v>
      </c>
      <c r="R1098" s="17"/>
      <c r="S1098" s="11"/>
      <c r="T1098" s="11"/>
      <c r="U1098" s="10" t="str">
        <f>HYPERLINK("https://pbs.twimg.com/profile_images/902802729009111040/RUuGyEn7.jpg","View")</f>
        <v>View</v>
      </c>
    </row>
    <row r="1099" spans="1:21" ht="40.799999999999997">
      <c r="A1099" s="6">
        <v>43441.732303240744</v>
      </c>
      <c r="B1099" s="7" t="str">
        <f>HYPERLINK("https://twitter.com/AlcaideMarga","@AlcaideMarga")</f>
        <v>@AlcaideMarga</v>
      </c>
      <c r="C1099" s="8" t="s">
        <v>5359</v>
      </c>
      <c r="D1099" s="9" t="s">
        <v>5360</v>
      </c>
      <c r="E1099" s="10" t="str">
        <f>HYPERLINK("https://twitter.com/AlcaideMarga/status/1071080526361083904","1071080526361083904")</f>
        <v>1071080526361083904</v>
      </c>
      <c r="F1099" s="12" t="s">
        <v>5361</v>
      </c>
      <c r="G1099" s="11"/>
      <c r="H1099" s="11"/>
      <c r="I1099" s="13">
        <v>2</v>
      </c>
      <c r="J1099" s="13">
        <v>0</v>
      </c>
      <c r="K1099" s="14" t="str">
        <f>HYPERLINK("http://twitter.com/download/android","Twitter for Android")</f>
        <v>Twitter for Android</v>
      </c>
      <c r="L1099" s="13">
        <v>797</v>
      </c>
      <c r="M1099" s="13">
        <v>1237</v>
      </c>
      <c r="N1099" s="13">
        <v>3</v>
      </c>
      <c r="O1099" s="15"/>
      <c r="P1099" s="6">
        <v>43105.863912037035</v>
      </c>
      <c r="Q1099" s="18" t="s">
        <v>964</v>
      </c>
      <c r="R1099" s="19" t="s">
        <v>5362</v>
      </c>
      <c r="S1099" s="11"/>
      <c r="T1099" s="11"/>
      <c r="U1099" s="10" t="str">
        <f>HYPERLINK("https://pbs.twimg.com/profile_images/1051525111914860544/HP0510BS.jpg","View")</f>
        <v>View</v>
      </c>
    </row>
    <row r="1100" spans="1:21" ht="30.6">
      <c r="A1100" s="6">
        <v>43441.730104166665</v>
      </c>
      <c r="B1100" s="7" t="str">
        <f>HYPERLINK("https://twitter.com/Dilfre","@Dilfre")</f>
        <v>@Dilfre</v>
      </c>
      <c r="C1100" s="8" t="s">
        <v>5363</v>
      </c>
      <c r="D1100" s="9" t="s">
        <v>2453</v>
      </c>
      <c r="E1100" s="10" t="str">
        <f>HYPERLINK("https://twitter.com/Dilfre/status/1071079728638058496","1071079728638058496")</f>
        <v>1071079728638058496</v>
      </c>
      <c r="F1100" s="12" t="s">
        <v>2454</v>
      </c>
      <c r="G1100" s="11"/>
      <c r="H1100" s="11"/>
      <c r="I1100" s="13">
        <v>0</v>
      </c>
      <c r="J1100" s="13">
        <v>0</v>
      </c>
      <c r="K1100" s="14" t="str">
        <f>HYPERLINK("https://www.google.com/","Google")</f>
        <v>Google</v>
      </c>
      <c r="L1100" s="13">
        <v>1360</v>
      </c>
      <c r="M1100" s="13">
        <v>2101</v>
      </c>
      <c r="N1100" s="13">
        <v>48</v>
      </c>
      <c r="O1100" s="15"/>
      <c r="P1100" s="6">
        <v>40294.587488425925</v>
      </c>
      <c r="Q1100" s="18" t="s">
        <v>942</v>
      </c>
      <c r="R1100" s="19" t="s">
        <v>5364</v>
      </c>
      <c r="S1100" s="12" t="s">
        <v>5365</v>
      </c>
      <c r="T1100" s="11"/>
      <c r="U1100" s="10" t="str">
        <f>HYPERLINK("https://pbs.twimg.com/profile_images/642718285159628801/LEasFKb8.jpg","View")</f>
        <v>View</v>
      </c>
    </row>
    <row r="1101" spans="1:21" ht="40.799999999999997">
      <c r="A1101" s="6">
        <v>43441.729675925926</v>
      </c>
      <c r="B1101" s="7" t="str">
        <f>HYPERLINK("https://twitter.com/AmancioOrtiga","@AmancioOrtiga")</f>
        <v>@AmancioOrtiga</v>
      </c>
      <c r="C1101" s="8" t="s">
        <v>5366</v>
      </c>
      <c r="D1101" s="9" t="s">
        <v>879</v>
      </c>
      <c r="E1101" s="10" t="str">
        <f>HYPERLINK("https://twitter.com/AmancioOrtiga/status/1071079572911857664","1071079572911857664")</f>
        <v>1071079572911857664</v>
      </c>
      <c r="F1101" s="12" t="s">
        <v>881</v>
      </c>
      <c r="G1101" s="11"/>
      <c r="H1101" s="11"/>
      <c r="I1101" s="13">
        <v>0</v>
      </c>
      <c r="J1101" s="13">
        <v>0</v>
      </c>
      <c r="K1101" s="14" t="str">
        <f>HYPERLINK("https://buffer.com","Buffer")</f>
        <v>Buffer</v>
      </c>
      <c r="L1101" s="13">
        <v>548</v>
      </c>
      <c r="M1101" s="13">
        <v>970</v>
      </c>
      <c r="N1101" s="13">
        <v>10</v>
      </c>
      <c r="O1101" s="15"/>
      <c r="P1101" s="6">
        <v>42558.648599537039</v>
      </c>
      <c r="Q1101" s="11"/>
      <c r="R1101" s="19" t="s">
        <v>5367</v>
      </c>
      <c r="S1101" s="11"/>
      <c r="T1101" s="11"/>
      <c r="U1101" s="10" t="str">
        <f>HYPERLINK("https://pbs.twimg.com/profile_images/751047493304082432/FX2xrUls.jpg","View")</f>
        <v>View</v>
      </c>
    </row>
    <row r="1102" spans="1:21" ht="61.2">
      <c r="A1102" s="6">
        <v>43441.729386574079</v>
      </c>
      <c r="B1102" s="7" t="str">
        <f>HYPERLINK("https://twitter.com/jesusmgranada2","@jesusmgranada2")</f>
        <v>@jesusmgranada2</v>
      </c>
      <c r="C1102" s="8" t="s">
        <v>967</v>
      </c>
      <c r="D1102" s="9" t="s">
        <v>2167</v>
      </c>
      <c r="E1102" s="10" t="str">
        <f>HYPERLINK("https://twitter.com/jesusmgranada2/status/1071079466217234433","1071079466217234433")</f>
        <v>1071079466217234433</v>
      </c>
      <c r="F1102" s="18" t="s">
        <v>2168</v>
      </c>
      <c r="G1102" s="11"/>
      <c r="H1102" s="11"/>
      <c r="I1102" s="13">
        <v>5</v>
      </c>
      <c r="J1102" s="13">
        <v>3</v>
      </c>
      <c r="K1102" s="14" t="str">
        <f>HYPERLINK("http://twitter.com/download/android","Twitter for Android")</f>
        <v>Twitter for Android</v>
      </c>
      <c r="L1102" s="13">
        <v>3188</v>
      </c>
      <c r="M1102" s="13">
        <v>2894</v>
      </c>
      <c r="N1102" s="13">
        <v>12</v>
      </c>
      <c r="O1102" s="15"/>
      <c r="P1102" s="6">
        <v>43070.367442129631</v>
      </c>
      <c r="Q1102" s="18" t="s">
        <v>971</v>
      </c>
      <c r="R1102" s="19" t="s">
        <v>972</v>
      </c>
      <c r="S1102" s="11"/>
      <c r="T1102" s="11"/>
      <c r="U1102" s="10" t="str">
        <f>HYPERLINK("https://pbs.twimg.com/profile_images/1069848765291552768/8astLha5.jpg","View")</f>
        <v>View</v>
      </c>
    </row>
    <row r="1103" spans="1:21" ht="51">
      <c r="A1103" s="6">
        <v>43441.728310185186</v>
      </c>
      <c r="B1103" s="7" t="str">
        <f>HYPERLINK("https://twitter.com/vurbinaporrero","@vurbinaporrero")</f>
        <v>@vurbinaporrero</v>
      </c>
      <c r="C1103" s="8" t="s">
        <v>5368</v>
      </c>
      <c r="D1103" s="9" t="s">
        <v>5369</v>
      </c>
      <c r="E1103" s="10" t="str">
        <f>HYPERLINK("https://twitter.com/vurbinaporrero/status/1071079076574740480","1071079076574740480")</f>
        <v>1071079076574740480</v>
      </c>
      <c r="F1103" s="12" t="s">
        <v>1160</v>
      </c>
      <c r="G1103" s="12" t="s">
        <v>1161</v>
      </c>
      <c r="H1103" s="11"/>
      <c r="I1103" s="13">
        <v>0</v>
      </c>
      <c r="J1103" s="13">
        <v>0</v>
      </c>
      <c r="K1103" s="14" t="str">
        <f>HYPERLINK("http://twitter.com/#!/download/ipad","Twitter for iPad")</f>
        <v>Twitter for iPad</v>
      </c>
      <c r="L1103" s="13">
        <v>741</v>
      </c>
      <c r="M1103" s="13">
        <v>1000</v>
      </c>
      <c r="N1103" s="13">
        <v>25</v>
      </c>
      <c r="O1103" s="15"/>
      <c r="P1103" s="6">
        <v>40708.956331018519</v>
      </c>
      <c r="Q1103" s="18" t="s">
        <v>5370</v>
      </c>
      <c r="R1103" s="19" t="s">
        <v>5371</v>
      </c>
      <c r="S1103" s="11"/>
      <c r="T1103" s="11"/>
      <c r="U1103" s="10" t="str">
        <f>HYPERLINK("https://pbs.twimg.com/profile_images/637723788981981184/cVViq0f3.jpg","View")</f>
        <v>View</v>
      </c>
    </row>
    <row r="1104" spans="1:21" ht="51">
      <c r="A1104" s="6">
        <v>43441.727685185186</v>
      </c>
      <c r="B1104" s="7" t="str">
        <f>HYPERLINK("https://twitter.com/migupelo2","@migupelo2")</f>
        <v>@migupelo2</v>
      </c>
      <c r="C1104" s="8" t="s">
        <v>1976</v>
      </c>
      <c r="D1104" s="9" t="s">
        <v>2169</v>
      </c>
      <c r="E1104" s="10" t="str">
        <f>HYPERLINK("https://twitter.com/migupelo2/status/1071078853202841600","1071078853202841600")</f>
        <v>1071078853202841600</v>
      </c>
      <c r="F1104" s="12" t="s">
        <v>2170</v>
      </c>
      <c r="G1104" s="11"/>
      <c r="H1104" s="11"/>
      <c r="I1104" s="13">
        <v>0</v>
      </c>
      <c r="J1104" s="13">
        <v>0</v>
      </c>
      <c r="K1104" s="14" t="str">
        <f>HYPERLINK("http://twitter.com","Twitter Web Client")</f>
        <v>Twitter Web Client</v>
      </c>
      <c r="L1104" s="13">
        <v>266</v>
      </c>
      <c r="M1104" s="13">
        <v>771</v>
      </c>
      <c r="N1104" s="13">
        <v>18</v>
      </c>
      <c r="O1104" s="15"/>
      <c r="P1104" s="6">
        <v>40477.868043981478</v>
      </c>
      <c r="Q1104" s="11"/>
      <c r="R1104" s="19" t="s">
        <v>1980</v>
      </c>
      <c r="S1104" s="11"/>
      <c r="T1104" s="11"/>
      <c r="U1104" s="10" t="str">
        <f>HYPERLINK("https://pbs.twimg.com/profile_images/2906316440/4ed1570f50fd6f70f1b28d458997dd81.jpeg","View")</f>
        <v>View</v>
      </c>
    </row>
    <row r="1105" spans="1:21" ht="40.799999999999997">
      <c r="A1105" s="6">
        <v>43441.724664351852</v>
      </c>
      <c r="B1105" s="7" t="str">
        <f>HYPERLINK("https://twitter.com/oguardingo","@oguardingo")</f>
        <v>@oguardingo</v>
      </c>
      <c r="C1105" s="8" t="s">
        <v>5372</v>
      </c>
      <c r="D1105" s="9" t="s">
        <v>5373</v>
      </c>
      <c r="E1105" s="10" t="str">
        <f>HYPERLINK("https://twitter.com/oguardingo/status/1071077755503198210","1071077755503198210")</f>
        <v>1071077755503198210</v>
      </c>
      <c r="F1105" s="12" t="s">
        <v>5374</v>
      </c>
      <c r="G1105" s="11"/>
      <c r="H1105" s="11"/>
      <c r="I1105" s="13">
        <v>2</v>
      </c>
      <c r="J1105" s="13">
        <v>10</v>
      </c>
      <c r="K1105" s="14" t="str">
        <f>HYPERLINK("http://twitter.com/download/iphone","Twitter for iPhone")</f>
        <v>Twitter for iPhone</v>
      </c>
      <c r="L1105" s="13">
        <v>5659</v>
      </c>
      <c r="M1105" s="13">
        <v>1299</v>
      </c>
      <c r="N1105" s="13">
        <v>113</v>
      </c>
      <c r="O1105" s="16" t="s">
        <v>25</v>
      </c>
      <c r="P1105" s="6">
        <v>40485.174421296295</v>
      </c>
      <c r="Q1105" s="18" t="s">
        <v>5375</v>
      </c>
      <c r="R1105" s="19" t="s">
        <v>5376</v>
      </c>
      <c r="S1105" s="12" t="s">
        <v>5377</v>
      </c>
      <c r="T1105" s="11"/>
      <c r="U1105" s="10" t="str">
        <f>HYPERLINK("https://pbs.twimg.com/profile_images/988445430060060672/DEF-YPJe.jpg","View")</f>
        <v>View</v>
      </c>
    </row>
    <row r="1106" spans="1:21" ht="61.2">
      <c r="A1106" s="6">
        <v>43441.724548611106</v>
      </c>
      <c r="B1106" s="7" t="str">
        <f>HYPERLINK("https://twitter.com/TamaraLempicka4","@TamaraLempicka4")</f>
        <v>@TamaraLempicka4</v>
      </c>
      <c r="C1106" s="8" t="s">
        <v>5378</v>
      </c>
      <c r="D1106" s="9" t="s">
        <v>5379</v>
      </c>
      <c r="E1106" s="10" t="str">
        <f>HYPERLINK("https://twitter.com/TamaraLempicka4/status/1071077715695034368","1071077715695034368")</f>
        <v>1071077715695034368</v>
      </c>
      <c r="F1106" s="18" t="s">
        <v>5258</v>
      </c>
      <c r="G1106" s="11"/>
      <c r="H1106" s="11"/>
      <c r="I1106" s="13">
        <v>2</v>
      </c>
      <c r="J1106" s="13">
        <v>1</v>
      </c>
      <c r="K1106" s="14" t="str">
        <f>HYPERLINK("http://twitter.com/download/android","Twitter for Android")</f>
        <v>Twitter for Android</v>
      </c>
      <c r="L1106" s="13">
        <v>4457</v>
      </c>
      <c r="M1106" s="13">
        <v>1300</v>
      </c>
      <c r="N1106" s="13">
        <v>41</v>
      </c>
      <c r="O1106" s="15"/>
      <c r="P1106" s="6">
        <v>42163.816388888888</v>
      </c>
      <c r="Q1106" s="11"/>
      <c r="R1106" s="17"/>
      <c r="S1106" s="11"/>
      <c r="T1106" s="11"/>
      <c r="U1106" s="10" t="str">
        <f>HYPERLINK("https://pbs.twimg.com/profile_images/992362497926664192/IZeRdJrV.jpg","View")</f>
        <v>View</v>
      </c>
    </row>
    <row r="1107" spans="1:21" ht="40.799999999999997">
      <c r="A1107" s="6">
        <v>43441.724212962959</v>
      </c>
      <c r="B1107" s="7" t="str">
        <f>HYPERLINK("https://twitter.com/eslatarde","@eslatarde")</f>
        <v>@eslatarde</v>
      </c>
      <c r="C1107" s="8" t="s">
        <v>5380</v>
      </c>
      <c r="D1107" s="9" t="s">
        <v>5381</v>
      </c>
      <c r="E1107" s="10" t="str">
        <f>HYPERLINK("https://twitter.com/eslatarde/status/1071077593959579649","1071077593959579649")</f>
        <v>1071077593959579649</v>
      </c>
      <c r="F1107" s="11"/>
      <c r="G1107" s="11"/>
      <c r="H1107" s="11"/>
      <c r="I1107" s="13">
        <v>10</v>
      </c>
      <c r="J1107" s="13">
        <v>22</v>
      </c>
      <c r="K1107" s="14" t="str">
        <f t="shared" ref="K1107:K1111" si="200">HYPERLINK("http://twitter.com","Twitter Web Client")</f>
        <v>Twitter Web Client</v>
      </c>
      <c r="L1107" s="13">
        <v>22059</v>
      </c>
      <c r="M1107" s="13">
        <v>1193</v>
      </c>
      <c r="N1107" s="13">
        <v>183</v>
      </c>
      <c r="O1107" s="16" t="s">
        <v>25</v>
      </c>
      <c r="P1107" s="6">
        <v>41487.700925925928</v>
      </c>
      <c r="Q1107" s="11"/>
      <c r="R1107" s="19" t="s">
        <v>5382</v>
      </c>
      <c r="S1107" s="12" t="s">
        <v>5383</v>
      </c>
      <c r="T1107" s="11"/>
      <c r="U1107" s="10" t="str">
        <f>HYPERLINK("https://pbs.twimg.com/profile_images/430657794740457472/J8u4e-W3.jpeg","View")</f>
        <v>View</v>
      </c>
    </row>
    <row r="1108" spans="1:21" ht="51">
      <c r="A1108" s="6">
        <v>43441.723796296297</v>
      </c>
      <c r="B1108" s="7" t="str">
        <f>HYPERLINK("https://twitter.com/FJDomingo","@FJDomingo")</f>
        <v>@FJDomingo</v>
      </c>
      <c r="C1108" s="8" t="s">
        <v>2445</v>
      </c>
      <c r="D1108" s="9" t="s">
        <v>5384</v>
      </c>
      <c r="E1108" s="10" t="str">
        <f>HYPERLINK("https://twitter.com/FJDomingo/status/1071077443308531718","1071077443308531718")</f>
        <v>1071077443308531718</v>
      </c>
      <c r="F1108" s="12" t="s">
        <v>5385</v>
      </c>
      <c r="G1108" s="12" t="s">
        <v>5386</v>
      </c>
      <c r="H1108" s="11"/>
      <c r="I1108" s="13">
        <v>0</v>
      </c>
      <c r="J1108" s="13">
        <v>0</v>
      </c>
      <c r="K1108" s="14" t="str">
        <f t="shared" si="200"/>
        <v>Twitter Web Client</v>
      </c>
      <c r="L1108" s="13">
        <v>292</v>
      </c>
      <c r="M1108" s="13">
        <v>542</v>
      </c>
      <c r="N1108" s="13">
        <v>8</v>
      </c>
      <c r="O1108" s="15"/>
      <c r="P1108" s="6">
        <v>40803.64130787037</v>
      </c>
      <c r="Q1108" s="18" t="s">
        <v>42</v>
      </c>
      <c r="R1108" s="19" t="s">
        <v>2450</v>
      </c>
      <c r="S1108" s="11"/>
      <c r="T1108" s="11"/>
      <c r="U1108" s="10" t="str">
        <f>HYPERLINK("https://pbs.twimg.com/profile_images/707249729319669761/qWqiBM4j.jpg","View")</f>
        <v>View</v>
      </c>
    </row>
    <row r="1109" spans="1:21" ht="51">
      <c r="A1109" s="6">
        <v>43441.717812499999</v>
      </c>
      <c r="B1109" s="7" t="str">
        <f>HYPERLINK("https://twitter.com/santiman_spain","@santiman_spain")</f>
        <v>@santiman_spain</v>
      </c>
      <c r="C1109" s="8" t="s">
        <v>1462</v>
      </c>
      <c r="D1109" s="9" t="s">
        <v>2171</v>
      </c>
      <c r="E1109" s="10" t="str">
        <f>HYPERLINK("https://twitter.com/santiman_spain/status/1071075274719154176","1071075274719154176")</f>
        <v>1071075274719154176</v>
      </c>
      <c r="F1109" s="11"/>
      <c r="G1109" s="12" t="s">
        <v>2172</v>
      </c>
      <c r="H1109" s="11"/>
      <c r="I1109" s="13">
        <v>0</v>
      </c>
      <c r="J1109" s="13">
        <v>0</v>
      </c>
      <c r="K1109" s="14" t="str">
        <f t="shared" si="200"/>
        <v>Twitter Web Client</v>
      </c>
      <c r="L1109" s="13">
        <v>1806</v>
      </c>
      <c r="M1109" s="13">
        <v>1743</v>
      </c>
      <c r="N1109" s="13">
        <v>26</v>
      </c>
      <c r="O1109" s="15"/>
      <c r="P1109" s="6">
        <v>41380.595127314817</v>
      </c>
      <c r="Q1109" s="18" t="s">
        <v>307</v>
      </c>
      <c r="R1109" s="19" t="s">
        <v>1467</v>
      </c>
      <c r="S1109" s="12" t="s">
        <v>1468</v>
      </c>
      <c r="T1109" s="11"/>
      <c r="U1109" s="10" t="str">
        <f>HYPERLINK("https://pbs.twimg.com/profile_images/824354780306882561/cOat5AAm.jpg","View")</f>
        <v>View</v>
      </c>
    </row>
    <row r="1110" spans="1:21" ht="20.399999999999999">
      <c r="A1110" s="6">
        <v>43441.717337962968</v>
      </c>
      <c r="B1110" s="7" t="str">
        <f>HYPERLINK("https://twitter.com/LAREVUELO53","@LAREVUELO53")</f>
        <v>@LAREVUELO53</v>
      </c>
      <c r="C1110" s="8" t="s">
        <v>4694</v>
      </c>
      <c r="D1110" s="9" t="s">
        <v>4125</v>
      </c>
      <c r="E1110" s="10" t="str">
        <f>HYPERLINK("https://twitter.com/LAREVUELO53/status/1071075101335015426","1071075101335015426")</f>
        <v>1071075101335015426</v>
      </c>
      <c r="F1110" s="12" t="s">
        <v>4126</v>
      </c>
      <c r="G1110" s="11"/>
      <c r="H1110" s="11"/>
      <c r="I1110" s="13">
        <v>0</v>
      </c>
      <c r="J1110" s="13">
        <v>0</v>
      </c>
      <c r="K1110" s="14" t="str">
        <f t="shared" si="200"/>
        <v>Twitter Web Client</v>
      </c>
      <c r="L1110" s="13">
        <v>415</v>
      </c>
      <c r="M1110" s="13">
        <v>1519</v>
      </c>
      <c r="N1110" s="13">
        <v>4</v>
      </c>
      <c r="O1110" s="15"/>
      <c r="P1110" s="6">
        <v>40681.9059375</v>
      </c>
      <c r="Q1110" s="18" t="s">
        <v>1637</v>
      </c>
      <c r="R1110" s="17"/>
      <c r="S1110" s="12" t="s">
        <v>4697</v>
      </c>
      <c r="T1110" s="11"/>
      <c r="U1110" s="10" t="str">
        <f>HYPERLINK("https://pbs.twimg.com/profile_images/719705597436960769/UB_JVe0J.jpg","View")</f>
        <v>View</v>
      </c>
    </row>
    <row r="1111" spans="1:21" ht="51">
      <c r="A1111" s="6">
        <v>43441.715902777782</v>
      </c>
      <c r="B1111" s="7" t="str">
        <f>HYPERLINK("https://twitter.com/Jes_Pacheco_Gal","@Jes_Pacheco_Gal")</f>
        <v>@Jes_Pacheco_Gal</v>
      </c>
      <c r="C1111" s="8" t="s">
        <v>2173</v>
      </c>
      <c r="D1111" s="9" t="s">
        <v>2174</v>
      </c>
      <c r="E1111" s="10" t="str">
        <f>HYPERLINK("https://twitter.com/Jes_Pacheco_Gal/status/1071074579622305793","1071074579622305793")</f>
        <v>1071074579622305793</v>
      </c>
      <c r="F1111" s="11"/>
      <c r="G1111" s="12" t="s">
        <v>2175</v>
      </c>
      <c r="H1111" s="11"/>
      <c r="I1111" s="13">
        <v>0</v>
      </c>
      <c r="J1111" s="13">
        <v>0</v>
      </c>
      <c r="K1111" s="14" t="str">
        <f t="shared" si="200"/>
        <v>Twitter Web Client</v>
      </c>
      <c r="L1111" s="13">
        <v>85</v>
      </c>
      <c r="M1111" s="13">
        <v>90</v>
      </c>
      <c r="N1111" s="13">
        <v>0</v>
      </c>
      <c r="O1111" s="15"/>
      <c r="P1111" s="6">
        <v>43333.989212962959</v>
      </c>
      <c r="Q1111" s="11"/>
      <c r="R1111" s="19" t="s">
        <v>2176</v>
      </c>
      <c r="S1111" s="11"/>
      <c r="T1111" s="11"/>
      <c r="U1111" s="10" t="str">
        <f>HYPERLINK("https://pbs.twimg.com/profile_images/1032710327589384192/K8kRexrm.jpg","View")</f>
        <v>View</v>
      </c>
    </row>
    <row r="1112" spans="1:21" ht="30.6">
      <c r="A1112" s="6">
        <v>43441.715451388889</v>
      </c>
      <c r="B1112" s="7" t="str">
        <f>HYPERLINK("https://twitter.com/payaserxx","@payaserxx")</f>
        <v>@payaserxx</v>
      </c>
      <c r="C1112" s="8" t="s">
        <v>2178</v>
      </c>
      <c r="D1112" s="9" t="s">
        <v>2179</v>
      </c>
      <c r="E1112" s="10" t="str">
        <f>HYPERLINK("https://twitter.com/payaserxx/status/1071074419139899392","1071074419139899392")</f>
        <v>1071074419139899392</v>
      </c>
      <c r="F1112" s="11"/>
      <c r="G1112" s="11"/>
      <c r="H1112" s="11"/>
      <c r="I1112" s="13">
        <v>0</v>
      </c>
      <c r="J1112" s="13">
        <v>10</v>
      </c>
      <c r="K1112" s="14" t="str">
        <f>HYPERLINK("http://twitter.com/download/android","Twitter for Android")</f>
        <v>Twitter for Android</v>
      </c>
      <c r="L1112" s="13">
        <v>828</v>
      </c>
      <c r="M1112" s="13">
        <v>347</v>
      </c>
      <c r="N1112" s="13">
        <v>8</v>
      </c>
      <c r="O1112" s="15"/>
      <c r="P1112" s="6">
        <v>43398.734340277777</v>
      </c>
      <c r="Q1112" s="18" t="s">
        <v>2180</v>
      </c>
      <c r="R1112" s="19" t="s">
        <v>2181</v>
      </c>
      <c r="S1112" s="11"/>
      <c r="T1112" s="11"/>
      <c r="U1112" s="10" t="str">
        <f>HYPERLINK("https://pbs.twimg.com/profile_images/1069897922047852544/VvSYLfFl.jpg","View")</f>
        <v>View</v>
      </c>
    </row>
    <row r="1113" spans="1:21" ht="40.799999999999997">
      <c r="A1113" s="6">
        <v>43441.71365740741</v>
      </c>
      <c r="B1113" s="7" t="str">
        <f>HYPERLINK("https://twitter.com/Giustarini_","@Giustarini_")</f>
        <v>@Giustarini_</v>
      </c>
      <c r="C1113" s="8" t="s">
        <v>2183</v>
      </c>
      <c r="D1113" s="9" t="s">
        <v>2184</v>
      </c>
      <c r="E1113" s="10" t="str">
        <f>HYPERLINK("https://twitter.com/Giustarini_/status/1071073769370865664","1071073769370865664")</f>
        <v>1071073769370865664</v>
      </c>
      <c r="F1113" s="12" t="s">
        <v>2187</v>
      </c>
      <c r="G1113" s="11"/>
      <c r="H1113" s="11"/>
      <c r="I1113" s="13">
        <v>0</v>
      </c>
      <c r="J1113" s="13">
        <v>0</v>
      </c>
      <c r="K1113" s="14" t="str">
        <f>HYPERLINK("http://twitter.com/download/iphone","Twitter for iPhone")</f>
        <v>Twitter for iPhone</v>
      </c>
      <c r="L1113" s="13">
        <v>193</v>
      </c>
      <c r="M1113" s="13">
        <v>385</v>
      </c>
      <c r="N1113" s="13">
        <v>7</v>
      </c>
      <c r="O1113" s="15"/>
      <c r="P1113" s="6">
        <v>40489.739351851851</v>
      </c>
      <c r="Q1113" s="18" t="s">
        <v>2188</v>
      </c>
      <c r="R1113" s="19" t="s">
        <v>2189</v>
      </c>
      <c r="S1113" s="11"/>
      <c r="T1113" s="11"/>
      <c r="U1113" s="10" t="str">
        <f>HYPERLINK("https://pbs.twimg.com/profile_images/717623754050789376/meeU4U5w.jpg","View")</f>
        <v>View</v>
      </c>
    </row>
    <row r="1114" spans="1:21" ht="20.399999999999999">
      <c r="A1114" s="6">
        <v>43441.713518518518</v>
      </c>
      <c r="B1114" s="7" t="str">
        <f>HYPERLINK("https://twitter.com/rizakko","@rizakko")</f>
        <v>@rizakko</v>
      </c>
      <c r="C1114" s="8" t="s">
        <v>5387</v>
      </c>
      <c r="D1114" s="9" t="s">
        <v>5388</v>
      </c>
      <c r="E1114" s="10" t="str">
        <f>HYPERLINK("https://twitter.com/rizakko/status/1071073718309412870","1071073718309412870")</f>
        <v>1071073718309412870</v>
      </c>
      <c r="F1114" s="11"/>
      <c r="G1114" s="11"/>
      <c r="H1114" s="11"/>
      <c r="I1114" s="13">
        <v>0</v>
      </c>
      <c r="J1114" s="13">
        <v>0</v>
      </c>
      <c r="K1114" s="14" t="str">
        <f>HYPERLINK("http://twitter.com","Twitter Web Client")</f>
        <v>Twitter Web Client</v>
      </c>
      <c r="L1114" s="13">
        <v>110</v>
      </c>
      <c r="M1114" s="13">
        <v>599</v>
      </c>
      <c r="N1114" s="13">
        <v>0</v>
      </c>
      <c r="O1114" s="15"/>
      <c r="P1114" s="6">
        <v>43198.892569444448</v>
      </c>
      <c r="Q1114" s="11"/>
      <c r="R1114" s="19" t="s">
        <v>5389</v>
      </c>
      <c r="S1114" s="11"/>
      <c r="T1114" s="11"/>
      <c r="U1114" s="10" t="str">
        <f>HYPERLINK("https://pbs.twimg.com/profile_images/1036749979627466752/M8Sh2rhe.jpg","View")</f>
        <v>View</v>
      </c>
    </row>
    <row r="1115" spans="1:21" ht="20.399999999999999">
      <c r="A1115" s="6">
        <v>43441.713043981479</v>
      </c>
      <c r="B1115" s="7" t="str">
        <f>HYPERLINK("https://twitter.com/enrilink","@enrilink")</f>
        <v>@enrilink</v>
      </c>
      <c r="C1115" s="8" t="s">
        <v>2191</v>
      </c>
      <c r="D1115" s="9" t="s">
        <v>2192</v>
      </c>
      <c r="E1115" s="10" t="str">
        <f>HYPERLINK("https://twitter.com/enrilink/status/1071073546149998593","1071073546149998593")</f>
        <v>1071073546149998593</v>
      </c>
      <c r="F1115" s="11"/>
      <c r="G1115" s="12" t="s">
        <v>2193</v>
      </c>
      <c r="H1115" s="11"/>
      <c r="I1115" s="13">
        <v>10</v>
      </c>
      <c r="J1115" s="13">
        <v>7</v>
      </c>
      <c r="K1115" s="14" t="str">
        <f>HYPERLINK("http://twitter.com/download/android","Twitter for Android")</f>
        <v>Twitter for Android</v>
      </c>
      <c r="L1115" s="13">
        <v>18208</v>
      </c>
      <c r="M1115" s="13">
        <v>19618</v>
      </c>
      <c r="N1115" s="13">
        <v>93</v>
      </c>
      <c r="O1115" s="15"/>
      <c r="P1115" s="6">
        <v>40683.522314814814</v>
      </c>
      <c r="Q1115" s="18" t="s">
        <v>114</v>
      </c>
      <c r="R1115" s="19" t="s">
        <v>2197</v>
      </c>
      <c r="S1115" s="12" t="s">
        <v>2198</v>
      </c>
      <c r="T1115" s="11"/>
      <c r="U1115" s="10" t="str">
        <f>HYPERLINK("https://pbs.twimg.com/profile_images/477717473270448128/FX5Dcya9.jpeg","View")</f>
        <v>View</v>
      </c>
    </row>
    <row r="1116" spans="1:21" ht="30.6">
      <c r="A1116" s="6">
        <v>43441.712372685186</v>
      </c>
      <c r="B1116" s="7" t="str">
        <f>HYPERLINK("https://twitter.com/Queechanhoy","@Queechanhoy")</f>
        <v>@Queechanhoy</v>
      </c>
      <c r="C1116" s="8" t="s">
        <v>5391</v>
      </c>
      <c r="D1116" s="9" t="s">
        <v>5392</v>
      </c>
      <c r="E1116" s="10" t="str">
        <f>HYPERLINK("https://twitter.com/Queechanhoy/status/1071073303295680512","1071073303295680512")</f>
        <v>1071073303295680512</v>
      </c>
      <c r="F1116" s="11"/>
      <c r="G1116" s="11"/>
      <c r="H1116" s="11"/>
      <c r="I1116" s="13">
        <v>0</v>
      </c>
      <c r="J1116" s="13">
        <v>0</v>
      </c>
      <c r="K1116" s="14" t="str">
        <f>HYPERLINK("https://ifttt.com","IFTTT")</f>
        <v>IFTTT</v>
      </c>
      <c r="L1116" s="13">
        <v>25</v>
      </c>
      <c r="M1116" s="13">
        <v>39</v>
      </c>
      <c r="N1116" s="13">
        <v>2</v>
      </c>
      <c r="O1116" s="15"/>
      <c r="P1116" s="6">
        <v>42111.672430555554</v>
      </c>
      <c r="Q1116" s="11"/>
      <c r="R1116" s="17"/>
      <c r="S1116" s="11"/>
      <c r="T1116" s="11"/>
      <c r="U1116" s="10" t="str">
        <f>HYPERLINK("https://pbs.twimg.com/profile_images/591565189721563136/SbTHzBPT.jpg","View")</f>
        <v>View</v>
      </c>
    </row>
    <row r="1117" spans="1:21" ht="81.599999999999994">
      <c r="A1117" s="6">
        <v>43441.711388888885</v>
      </c>
      <c r="B1117" s="7" t="str">
        <f>HYPERLINK("https://twitter.com/EPrecoz","@EPrecoz")</f>
        <v>@EPrecoz</v>
      </c>
      <c r="C1117" s="8" t="s">
        <v>2199</v>
      </c>
      <c r="D1117" s="9" t="s">
        <v>2200</v>
      </c>
      <c r="E1117" s="10" t="str">
        <f>HYPERLINK("https://twitter.com/EPrecoz/status/1071072947245330432","1071072947245330432")</f>
        <v>1071072947245330432</v>
      </c>
      <c r="F1117" s="18" t="s">
        <v>2201</v>
      </c>
      <c r="G1117" s="12" t="s">
        <v>2202</v>
      </c>
      <c r="H1117" s="11"/>
      <c r="I1117" s="13">
        <v>1</v>
      </c>
      <c r="J1117" s="13">
        <v>1</v>
      </c>
      <c r="K1117" s="14" t="str">
        <f>HYPERLINK("http://twitter.com","Twitter Web Client")</f>
        <v>Twitter Web Client</v>
      </c>
      <c r="L1117" s="13">
        <v>18433</v>
      </c>
      <c r="M1117" s="13">
        <v>81</v>
      </c>
      <c r="N1117" s="13">
        <v>121</v>
      </c>
      <c r="O1117" s="15"/>
      <c r="P1117" s="6">
        <v>40455.133263888885</v>
      </c>
      <c r="Q1117" s="18" t="s">
        <v>601</v>
      </c>
      <c r="R1117" s="19" t="s">
        <v>2203</v>
      </c>
      <c r="S1117" s="11"/>
      <c r="T1117" s="11"/>
      <c r="U1117" s="10" t="str">
        <f>HYPERLINK("https://pbs.twimg.com/profile_images/1136937475/ESPE.jpg","View")</f>
        <v>View</v>
      </c>
    </row>
    <row r="1118" spans="1:21" ht="51">
      <c r="A1118" s="6">
        <v>43441.710891203707</v>
      </c>
      <c r="B1118" s="7" t="str">
        <f>HYPERLINK("https://twitter.com/CLUBCATERPILLAR","@CLUBCATERPILLAR")</f>
        <v>@CLUBCATERPILLAR</v>
      </c>
      <c r="C1118" s="8" t="s">
        <v>5393</v>
      </c>
      <c r="D1118" s="9" t="s">
        <v>5394</v>
      </c>
      <c r="E1118" s="10" t="str">
        <f>HYPERLINK("https://twitter.com/CLUBCATERPILLAR/status/1071072764067500032","1071072764067500032")</f>
        <v>1071072764067500032</v>
      </c>
      <c r="F1118" s="11"/>
      <c r="G1118" s="12" t="s">
        <v>5395</v>
      </c>
      <c r="H1118" s="11"/>
      <c r="I1118" s="13">
        <v>0</v>
      </c>
      <c r="J1118" s="13">
        <v>1</v>
      </c>
      <c r="K1118" s="14" t="str">
        <f t="shared" ref="K1118:K1119" si="201">HYPERLINK("http://twitter.com/download/android","Twitter for Android")</f>
        <v>Twitter for Android</v>
      </c>
      <c r="L1118" s="13">
        <v>1612</v>
      </c>
      <c r="M1118" s="13">
        <v>945</v>
      </c>
      <c r="N1118" s="13">
        <v>4</v>
      </c>
      <c r="O1118" s="15"/>
      <c r="P1118" s="6">
        <v>40641.157453703701</v>
      </c>
      <c r="Q1118" s="18" t="s">
        <v>5396</v>
      </c>
      <c r="R1118" s="19" t="s">
        <v>5397</v>
      </c>
      <c r="S1118" s="12" t="s">
        <v>5398</v>
      </c>
      <c r="T1118" s="11"/>
      <c r="U1118" s="10" t="str">
        <f>HYPERLINK("https://pbs.twimg.com/profile_images/918598857830883328/jJmnmRvK.jpg","View")</f>
        <v>View</v>
      </c>
    </row>
    <row r="1119" spans="1:21" ht="51">
      <c r="A1119" s="6">
        <v>43441.709560185191</v>
      </c>
      <c r="B1119" s="7" t="str">
        <f>HYPERLINK("https://twitter.com/malakita_libera","@malakita_libera")</f>
        <v>@malakita_libera</v>
      </c>
      <c r="C1119" s="8" t="s">
        <v>2206</v>
      </c>
      <c r="D1119" s="9" t="s">
        <v>2207</v>
      </c>
      <c r="E1119" s="10" t="str">
        <f>HYPERLINK("https://twitter.com/malakita_libera/status/1071072282683076608","1071072282683076608")</f>
        <v>1071072282683076608</v>
      </c>
      <c r="F1119" s="12" t="s">
        <v>2210</v>
      </c>
      <c r="G1119" s="11"/>
      <c r="H1119" s="11"/>
      <c r="I1119" s="13">
        <v>0</v>
      </c>
      <c r="J1119" s="13">
        <v>0</v>
      </c>
      <c r="K1119" s="14" t="str">
        <f t="shared" si="201"/>
        <v>Twitter for Android</v>
      </c>
      <c r="L1119" s="13">
        <v>3405</v>
      </c>
      <c r="M1119" s="13">
        <v>443</v>
      </c>
      <c r="N1119" s="13">
        <v>10</v>
      </c>
      <c r="O1119" s="15"/>
      <c r="P1119" s="6">
        <v>42478.562824074077</v>
      </c>
      <c r="Q1119" s="18" t="s">
        <v>2020</v>
      </c>
      <c r="R1119" s="19" t="s">
        <v>2211</v>
      </c>
      <c r="S1119" s="11"/>
      <c r="T1119" s="11"/>
      <c r="U1119" s="10" t="str">
        <f>HYPERLINK("https://pbs.twimg.com/profile_images/993432247876415493/aSNuszhf.jpg","View")</f>
        <v>View</v>
      </c>
    </row>
    <row r="1120" spans="1:21" ht="40.799999999999997">
      <c r="A1120" s="6">
        <v>43441.708761574075</v>
      </c>
      <c r="B1120" s="7" t="str">
        <f>HYPERLINK("https://twitter.com/migupelo2","@migupelo2")</f>
        <v>@migupelo2</v>
      </c>
      <c r="C1120" s="8" t="s">
        <v>1976</v>
      </c>
      <c r="D1120" s="9" t="s">
        <v>2212</v>
      </c>
      <c r="E1120" s="10" t="str">
        <f>HYPERLINK("https://twitter.com/migupelo2/status/1071071991954898944","1071071991954898944")</f>
        <v>1071071991954898944</v>
      </c>
      <c r="F1120" s="12" t="s">
        <v>2213</v>
      </c>
      <c r="G1120" s="11"/>
      <c r="H1120" s="11"/>
      <c r="I1120" s="13">
        <v>0</v>
      </c>
      <c r="J1120" s="13">
        <v>0</v>
      </c>
      <c r="K1120" s="14" t="str">
        <f>HYPERLINK("http://twitter.com","Twitter Web Client")</f>
        <v>Twitter Web Client</v>
      </c>
      <c r="L1120" s="13">
        <v>266</v>
      </c>
      <c r="M1120" s="13">
        <v>771</v>
      </c>
      <c r="N1120" s="13">
        <v>18</v>
      </c>
      <c r="O1120" s="15"/>
      <c r="P1120" s="6">
        <v>40477.868043981478</v>
      </c>
      <c r="Q1120" s="11"/>
      <c r="R1120" s="19" t="s">
        <v>1980</v>
      </c>
      <c r="S1120" s="11"/>
      <c r="T1120" s="11"/>
      <c r="U1120" s="10" t="str">
        <f>HYPERLINK("https://pbs.twimg.com/profile_images/2906316440/4ed1570f50fd6f70f1b28d458997dd81.jpeg","View")</f>
        <v>View</v>
      </c>
    </row>
    <row r="1121" spans="1:21" ht="20.399999999999999">
      <c r="A1121" s="6">
        <v>43441.708611111113</v>
      </c>
      <c r="B1121" s="7" t="str">
        <f>HYPERLINK("https://twitter.com/rparraserva","@rparraserva")</f>
        <v>@rparraserva</v>
      </c>
      <c r="C1121" s="8" t="s">
        <v>5399</v>
      </c>
      <c r="D1121" s="9" t="s">
        <v>5400</v>
      </c>
      <c r="E1121" s="10" t="str">
        <f>HYPERLINK("https://twitter.com/rparraserva/status/1071071938569752577","1071071938569752577")</f>
        <v>1071071938569752577</v>
      </c>
      <c r="F1121" s="12" t="s">
        <v>5401</v>
      </c>
      <c r="G1121" s="11"/>
      <c r="H1121" s="11"/>
      <c r="I1121" s="13">
        <v>1</v>
      </c>
      <c r="J1121" s="13">
        <v>1</v>
      </c>
      <c r="K1121" s="14" t="str">
        <f>HYPERLINK("http://twitter.com/download/iphone","Twitter for iPhone")</f>
        <v>Twitter for iPhone</v>
      </c>
      <c r="L1121" s="13">
        <v>359</v>
      </c>
      <c r="M1121" s="13">
        <v>761</v>
      </c>
      <c r="N1121" s="13">
        <v>1</v>
      </c>
      <c r="O1121" s="15"/>
      <c r="P1121" s="6">
        <v>40244.271469907406</v>
      </c>
      <c r="Q1121" s="18" t="s">
        <v>5402</v>
      </c>
      <c r="R1121" s="17"/>
      <c r="S1121" s="11"/>
      <c r="T1121" s="11"/>
      <c r="U1121" s="10" t="str">
        <f>HYPERLINK("https://pbs.twimg.com/profile_images/1844767449/FOTO_RAUL_PARRA.JPG","View")</f>
        <v>View</v>
      </c>
    </row>
    <row r="1122" spans="1:21" ht="13.2">
      <c r="A1122" s="6">
        <v>43441.707650462966</v>
      </c>
      <c r="B1122" s="7" t="str">
        <f>HYPERLINK("https://twitter.com/impactocna","@impactocna")</f>
        <v>@impactocna</v>
      </c>
      <c r="C1122" s="8" t="s">
        <v>5403</v>
      </c>
      <c r="D1122" s="9" t="s">
        <v>5404</v>
      </c>
      <c r="E1122" s="10" t="str">
        <f>HYPERLINK("https://twitter.com/impactocna/status/1071071591734435840","1071071591734435840")</f>
        <v>1071071591734435840</v>
      </c>
      <c r="F1122" s="12" t="s">
        <v>5401</v>
      </c>
      <c r="G1122" s="11"/>
      <c r="H1122" s="11"/>
      <c r="I1122" s="13">
        <v>0</v>
      </c>
      <c r="J1122" s="13">
        <v>0</v>
      </c>
      <c r="K1122" s="14" t="str">
        <f>HYPERLINK("http://twitter.com","Twitter Web Client")</f>
        <v>Twitter Web Client</v>
      </c>
      <c r="L1122" s="13">
        <v>9275</v>
      </c>
      <c r="M1122" s="13">
        <v>2029</v>
      </c>
      <c r="N1122" s="13">
        <v>407</v>
      </c>
      <c r="O1122" s="15"/>
      <c r="P1122" s="6">
        <v>40133.802083333336</v>
      </c>
      <c r="Q1122" s="18" t="s">
        <v>5405</v>
      </c>
      <c r="R1122" s="19" t="s">
        <v>5406</v>
      </c>
      <c r="S1122" s="12" t="s">
        <v>5407</v>
      </c>
      <c r="T1122" s="11"/>
      <c r="U1122" s="10" t="str">
        <f>HYPERLINK("https://pbs.twimg.com/profile_images/651447380211073024/qvrk56tu.png","View")</f>
        <v>View</v>
      </c>
    </row>
    <row r="1123" spans="1:21" ht="51">
      <c r="A1123" s="6">
        <v>43441.706805555557</v>
      </c>
      <c r="B1123" s="7" t="str">
        <f>HYPERLINK("https://twitter.com/BlancoKiko","@BlancoKiko")</f>
        <v>@BlancoKiko</v>
      </c>
      <c r="C1123" s="8" t="s">
        <v>2216</v>
      </c>
      <c r="D1123" s="9" t="s">
        <v>2217</v>
      </c>
      <c r="E1123" s="10" t="str">
        <f>HYPERLINK("https://twitter.com/BlancoKiko/status/1071071286728769536","1071071286728769536")</f>
        <v>1071071286728769536</v>
      </c>
      <c r="F1123" s="12" t="s">
        <v>1487</v>
      </c>
      <c r="G1123" s="12" t="s">
        <v>1488</v>
      </c>
      <c r="H1123" s="11"/>
      <c r="I1123" s="13">
        <v>0</v>
      </c>
      <c r="J1123" s="13">
        <v>0</v>
      </c>
      <c r="K1123" s="14" t="str">
        <f>HYPERLINK("http://twitter.com/download/android","Twitter for Android")</f>
        <v>Twitter for Android</v>
      </c>
      <c r="L1123" s="13">
        <v>1081</v>
      </c>
      <c r="M1123" s="13">
        <v>1548</v>
      </c>
      <c r="N1123" s="13">
        <v>16</v>
      </c>
      <c r="O1123" s="15"/>
      <c r="P1123" s="6">
        <v>41020.598715277782</v>
      </c>
      <c r="Q1123" s="18" t="s">
        <v>2220</v>
      </c>
      <c r="R1123" s="19" t="s">
        <v>2221</v>
      </c>
      <c r="S1123" s="11"/>
      <c r="T1123" s="11"/>
      <c r="U1123" s="10" t="str">
        <f>HYPERLINK("https://pbs.twimg.com/profile_images/995723371756351488/4j7Rv-ES.jpg","View")</f>
        <v>View</v>
      </c>
    </row>
    <row r="1124" spans="1:21" ht="40.799999999999997">
      <c r="A1124" s="6">
        <v>43441.705011574071</v>
      </c>
      <c r="B1124" s="7" t="str">
        <f>HYPERLINK("https://twitter.com/TRAGATEL0","@TRAGATEL0")</f>
        <v>@TRAGATEL0</v>
      </c>
      <c r="C1124" s="8" t="s">
        <v>5408</v>
      </c>
      <c r="D1124" s="9" t="s">
        <v>5409</v>
      </c>
      <c r="E1124" s="10" t="str">
        <f>HYPERLINK("https://twitter.com/TRAGATEL0/status/1071070633210077185","1071070633210077185")</f>
        <v>1071070633210077185</v>
      </c>
      <c r="F1124" s="11"/>
      <c r="G1124" s="11"/>
      <c r="H1124" s="11"/>
      <c r="I1124" s="13">
        <v>1</v>
      </c>
      <c r="J1124" s="13">
        <v>4</v>
      </c>
      <c r="K1124" s="14" t="str">
        <f t="shared" ref="K1124:K1125" si="202">HYPERLINK("http://twitter.com","Twitter Web Client")</f>
        <v>Twitter Web Client</v>
      </c>
      <c r="L1124" s="13">
        <v>2867</v>
      </c>
      <c r="M1124" s="13">
        <v>3352</v>
      </c>
      <c r="N1124" s="13">
        <v>50</v>
      </c>
      <c r="O1124" s="15"/>
      <c r="P1124" s="6">
        <v>42600.667349537034</v>
      </c>
      <c r="Q1124" s="11"/>
      <c r="R1124" s="19" t="s">
        <v>5410</v>
      </c>
      <c r="S1124" s="12" t="s">
        <v>5411</v>
      </c>
      <c r="T1124" s="11"/>
      <c r="U1124" s="10" t="str">
        <f>HYPERLINK("https://pbs.twimg.com/profile_images/991752424602980352/Tbez7IZi.jpg","View")</f>
        <v>View</v>
      </c>
    </row>
    <row r="1125" spans="1:21" ht="51">
      <c r="A1125" s="6">
        <v>43441.704166666663</v>
      </c>
      <c r="B1125" s="7" t="str">
        <f>HYPERLINK("https://twitter.com/migupelo2","@migupelo2")</f>
        <v>@migupelo2</v>
      </c>
      <c r="C1125" s="8" t="s">
        <v>1976</v>
      </c>
      <c r="D1125" s="9" t="s">
        <v>2225</v>
      </c>
      <c r="E1125" s="10" t="str">
        <f>HYPERLINK("https://twitter.com/migupelo2/status/1071070329508900866","1071070329508900866")</f>
        <v>1071070329508900866</v>
      </c>
      <c r="F1125" s="12" t="s">
        <v>2226</v>
      </c>
      <c r="G1125" s="11"/>
      <c r="H1125" s="11"/>
      <c r="I1125" s="13">
        <v>0</v>
      </c>
      <c r="J1125" s="13">
        <v>0</v>
      </c>
      <c r="K1125" s="14" t="str">
        <f t="shared" si="202"/>
        <v>Twitter Web Client</v>
      </c>
      <c r="L1125" s="13">
        <v>266</v>
      </c>
      <c r="M1125" s="13">
        <v>771</v>
      </c>
      <c r="N1125" s="13">
        <v>18</v>
      </c>
      <c r="O1125" s="15"/>
      <c r="P1125" s="6">
        <v>40477.868043981478</v>
      </c>
      <c r="Q1125" s="11"/>
      <c r="R1125" s="19" t="s">
        <v>1980</v>
      </c>
      <c r="S1125" s="11"/>
      <c r="T1125" s="11"/>
      <c r="U1125" s="10" t="str">
        <f>HYPERLINK("https://pbs.twimg.com/profile_images/2906316440/4ed1570f50fd6f70f1b28d458997dd81.jpeg","View")</f>
        <v>View</v>
      </c>
    </row>
    <row r="1126" spans="1:21" ht="91.8">
      <c r="A1126" s="6">
        <v>43441.703645833331</v>
      </c>
      <c r="B1126" s="7" t="str">
        <f>HYPERLINK("https://twitter.com/maria_tabarnia","@maria_tabarnia")</f>
        <v>@maria_tabarnia</v>
      </c>
      <c r="C1126" s="8" t="s">
        <v>5412</v>
      </c>
      <c r="D1126" s="9" t="s">
        <v>5413</v>
      </c>
      <c r="E1126" s="10" t="str">
        <f>HYPERLINK("https://twitter.com/maria_tabarnia/status/1071070138567401472","1071070138567401472")</f>
        <v>1071070138567401472</v>
      </c>
      <c r="F1126" s="12" t="s">
        <v>2499</v>
      </c>
      <c r="G1126" s="12" t="s">
        <v>2500</v>
      </c>
      <c r="H1126" s="11"/>
      <c r="I1126" s="13">
        <v>0</v>
      </c>
      <c r="J1126" s="13">
        <v>0</v>
      </c>
      <c r="K1126" s="14" t="str">
        <f>HYPERLINK("http://twitter.com/download/iphone","Twitter for iPhone")</f>
        <v>Twitter for iPhone</v>
      </c>
      <c r="L1126" s="13">
        <v>519</v>
      </c>
      <c r="M1126" s="13">
        <v>191</v>
      </c>
      <c r="N1126" s="13">
        <v>1</v>
      </c>
      <c r="O1126" s="15"/>
      <c r="P1126" s="6">
        <v>43030.604953703703</v>
      </c>
      <c r="Q1126" s="18" t="s">
        <v>885</v>
      </c>
      <c r="R1126" s="19" t="s">
        <v>5414</v>
      </c>
      <c r="S1126" s="11"/>
      <c r="T1126" s="11"/>
      <c r="U1126" s="10" t="str">
        <f>HYPERLINK("https://pbs.twimg.com/profile_images/953429107987148802/CtiEfRMx.jpg","View")</f>
        <v>View</v>
      </c>
    </row>
    <row r="1127" spans="1:21" ht="71.400000000000006">
      <c r="A1127" s="6">
        <v>43441.703587962962</v>
      </c>
      <c r="B1127" s="7" t="str">
        <f>HYPERLINK("https://twitter.com/Fromot7","@Fromot7")</f>
        <v>@Fromot7</v>
      </c>
      <c r="C1127" s="8" t="s">
        <v>5415</v>
      </c>
      <c r="D1127" s="9" t="s">
        <v>5416</v>
      </c>
      <c r="E1127" s="10" t="str">
        <f>HYPERLINK("https://twitter.com/Fromot7/status/1071070117155491842","1071070117155491842")</f>
        <v>1071070117155491842</v>
      </c>
      <c r="F1127" s="12" t="s">
        <v>5417</v>
      </c>
      <c r="G1127" s="12" t="s">
        <v>5418</v>
      </c>
      <c r="H1127" s="11"/>
      <c r="I1127" s="13">
        <v>1</v>
      </c>
      <c r="J1127" s="13">
        <v>2</v>
      </c>
      <c r="K1127" s="14" t="str">
        <f>HYPERLINK("http://twitter.com/download/android","Twitter for Android")</f>
        <v>Twitter for Android</v>
      </c>
      <c r="L1127" s="13">
        <v>165</v>
      </c>
      <c r="M1127" s="13">
        <v>319</v>
      </c>
      <c r="N1127" s="13">
        <v>0</v>
      </c>
      <c r="O1127" s="15"/>
      <c r="P1127" s="6">
        <v>40621.767280092594</v>
      </c>
      <c r="Q1127" s="11"/>
      <c r="R1127" s="19" t="s">
        <v>5419</v>
      </c>
      <c r="S1127" s="11"/>
      <c r="T1127" s="11"/>
      <c r="U1127" s="10" t="str">
        <f>HYPERLINK("https://pbs.twimg.com/profile_images/868427493103087617/xc2X6Rrd.jpg","View")</f>
        <v>View</v>
      </c>
    </row>
    <row r="1128" spans="1:21" ht="30.6">
      <c r="A1128" s="6">
        <v>43441.703414351854</v>
      </c>
      <c r="B1128" s="7" t="str">
        <f t="shared" ref="B1128:B1129" si="203">HYPERLINK("https://twitter.com/RBMAxarquia","@RBMAxarquia")</f>
        <v>@RBMAxarquia</v>
      </c>
      <c r="C1128" s="8" t="s">
        <v>5420</v>
      </c>
      <c r="D1128" s="9" t="s">
        <v>5421</v>
      </c>
      <c r="E1128" s="10" t="str">
        <f>HYPERLINK("https://twitter.com/RBMAxarquia/status/1071070055230652417","1071070055230652417")</f>
        <v>1071070055230652417</v>
      </c>
      <c r="F1128" s="12" t="s">
        <v>5422</v>
      </c>
      <c r="G1128" s="11"/>
      <c r="H1128" s="11"/>
      <c r="I1128" s="13">
        <v>0</v>
      </c>
      <c r="J1128" s="13">
        <v>0</v>
      </c>
      <c r="K1128" s="14" t="str">
        <f t="shared" ref="K1128:K1129" si="204">HYPERLINK("https://www.google.com/","Google")</f>
        <v>Google</v>
      </c>
      <c r="L1128" s="13">
        <v>52</v>
      </c>
      <c r="M1128" s="13">
        <v>210</v>
      </c>
      <c r="N1128" s="13">
        <v>0</v>
      </c>
      <c r="O1128" s="15"/>
      <c r="P1128" s="6">
        <v>43380.017048611116</v>
      </c>
      <c r="Q1128" s="18" t="s">
        <v>5423</v>
      </c>
      <c r="R1128" s="19" t="s">
        <v>5424</v>
      </c>
      <c r="S1128" s="12" t="s">
        <v>5425</v>
      </c>
      <c r="T1128" s="11"/>
      <c r="U1128" s="10" t="str">
        <f t="shared" ref="U1128:U1129" si="205">HYPERLINK("https://pbs.twimg.com/profile_images/1048703804747735040/k2IYIrpe.jpg","View")</f>
        <v>View</v>
      </c>
    </row>
    <row r="1129" spans="1:21" ht="30.6">
      <c r="A1129" s="6">
        <v>43441.703194444446</v>
      </c>
      <c r="B1129" s="7" t="str">
        <f t="shared" si="203"/>
        <v>@RBMAxarquia</v>
      </c>
      <c r="C1129" s="8" t="s">
        <v>5420</v>
      </c>
      <c r="D1129" s="9" t="s">
        <v>5426</v>
      </c>
      <c r="E1129" s="10" t="str">
        <f>HYPERLINK("https://twitter.com/RBMAxarquia/status/1071069975857774592","1071069975857774592")</f>
        <v>1071069975857774592</v>
      </c>
      <c r="F1129" s="12" t="s">
        <v>5422</v>
      </c>
      <c r="G1129" s="11"/>
      <c r="H1129" s="11"/>
      <c r="I1129" s="13">
        <v>0</v>
      </c>
      <c r="J1129" s="13">
        <v>0</v>
      </c>
      <c r="K1129" s="14" t="str">
        <f t="shared" si="204"/>
        <v>Google</v>
      </c>
      <c r="L1129" s="13">
        <v>52</v>
      </c>
      <c r="M1129" s="13">
        <v>210</v>
      </c>
      <c r="N1129" s="13">
        <v>0</v>
      </c>
      <c r="O1129" s="15"/>
      <c r="P1129" s="6">
        <v>43380.017048611116</v>
      </c>
      <c r="Q1129" s="18" t="s">
        <v>5423</v>
      </c>
      <c r="R1129" s="19" t="s">
        <v>5424</v>
      </c>
      <c r="S1129" s="12" t="s">
        <v>5425</v>
      </c>
      <c r="T1129" s="11"/>
      <c r="U1129" s="10" t="str">
        <f t="shared" si="205"/>
        <v>View</v>
      </c>
    </row>
    <row r="1130" spans="1:21" ht="51">
      <c r="A1130" s="6">
        <v>43441.70313657407</v>
      </c>
      <c r="B1130" s="7" t="str">
        <f>HYPERLINK("https://twitter.com/migupelo2","@migupelo2")</f>
        <v>@migupelo2</v>
      </c>
      <c r="C1130" s="8" t="s">
        <v>1976</v>
      </c>
      <c r="D1130" s="9" t="s">
        <v>2231</v>
      </c>
      <c r="E1130" s="10" t="str">
        <f>HYPERLINK("https://twitter.com/migupelo2/status/1071069955884548096","1071069955884548096")</f>
        <v>1071069955884548096</v>
      </c>
      <c r="F1130" s="12" t="s">
        <v>2234</v>
      </c>
      <c r="G1130" s="11"/>
      <c r="H1130" s="11"/>
      <c r="I1130" s="13">
        <v>0</v>
      </c>
      <c r="J1130" s="13">
        <v>0</v>
      </c>
      <c r="K1130" s="14" t="str">
        <f>HYPERLINK("http://twitter.com","Twitter Web Client")</f>
        <v>Twitter Web Client</v>
      </c>
      <c r="L1130" s="13">
        <v>266</v>
      </c>
      <c r="M1130" s="13">
        <v>771</v>
      </c>
      <c r="N1130" s="13">
        <v>18</v>
      </c>
      <c r="O1130" s="15"/>
      <c r="P1130" s="6">
        <v>40477.868043981478</v>
      </c>
      <c r="Q1130" s="11"/>
      <c r="R1130" s="19" t="s">
        <v>1980</v>
      </c>
      <c r="S1130" s="11"/>
      <c r="T1130" s="11"/>
      <c r="U1130" s="10" t="str">
        <f>HYPERLINK("https://pbs.twimg.com/profile_images/2906316440/4ed1570f50fd6f70f1b28d458997dd81.jpeg","View")</f>
        <v>View</v>
      </c>
    </row>
    <row r="1131" spans="1:21" ht="20.399999999999999">
      <c r="A1131" s="6">
        <v>43441.702939814815</v>
      </c>
      <c r="B1131" s="7" t="str">
        <f>HYPERLINK("https://twitter.com/Juansin92059456","@Juansin92059456")</f>
        <v>@Juansin92059456</v>
      </c>
      <c r="C1131" s="8" t="s">
        <v>3439</v>
      </c>
      <c r="D1131" s="9" t="s">
        <v>5427</v>
      </c>
      <c r="E1131" s="10" t="str">
        <f>HYPERLINK("https://twitter.com/Juansin92059456/status/1071069883125903361","1071069883125903361")</f>
        <v>1071069883125903361</v>
      </c>
      <c r="F1131" s="12" t="s">
        <v>5428</v>
      </c>
      <c r="G1131" s="11"/>
      <c r="H1131" s="11"/>
      <c r="I1131" s="13">
        <v>0</v>
      </c>
      <c r="J1131" s="13">
        <v>0</v>
      </c>
      <c r="K1131" s="14" t="str">
        <f>HYPERLINK("http://twitter.com/download/android","Twitter for Android")</f>
        <v>Twitter for Android</v>
      </c>
      <c r="L1131" s="13">
        <v>63</v>
      </c>
      <c r="M1131" s="13">
        <v>228</v>
      </c>
      <c r="N1131" s="13">
        <v>0</v>
      </c>
      <c r="O1131" s="15"/>
      <c r="P1131" s="6">
        <v>43247.212766203702</v>
      </c>
      <c r="Q1131" s="11"/>
      <c r="R1131" s="19" t="s">
        <v>3443</v>
      </c>
      <c r="S1131" s="11"/>
      <c r="T1131" s="11"/>
      <c r="U1131" s="10" t="str">
        <f>HYPERLINK("https://pbs.twimg.com/profile_images/1001582685108785152/H6ZCkRw2.jpg","View")</f>
        <v>View</v>
      </c>
    </row>
    <row r="1132" spans="1:21" ht="40.799999999999997">
      <c r="A1132" s="6">
        <v>43441.70039351852</v>
      </c>
      <c r="B1132" s="7" t="str">
        <f>HYPERLINK("https://twitter.com/migupelo2","@migupelo2")</f>
        <v>@migupelo2</v>
      </c>
      <c r="C1132" s="8" t="s">
        <v>1976</v>
      </c>
      <c r="D1132" s="9" t="s">
        <v>2235</v>
      </c>
      <c r="E1132" s="10" t="str">
        <f>HYPERLINK("https://twitter.com/migupelo2/status/1071068962530779136","1071068962530779136")</f>
        <v>1071068962530779136</v>
      </c>
      <c r="F1132" s="12" t="s">
        <v>2236</v>
      </c>
      <c r="G1132" s="11"/>
      <c r="H1132" s="11"/>
      <c r="I1132" s="13">
        <v>0</v>
      </c>
      <c r="J1132" s="13">
        <v>0</v>
      </c>
      <c r="K1132" s="14" t="str">
        <f t="shared" ref="K1132:K1133" si="206">HYPERLINK("http://twitter.com","Twitter Web Client")</f>
        <v>Twitter Web Client</v>
      </c>
      <c r="L1132" s="13">
        <v>266</v>
      </c>
      <c r="M1132" s="13">
        <v>771</v>
      </c>
      <c r="N1132" s="13">
        <v>18</v>
      </c>
      <c r="O1132" s="15"/>
      <c r="P1132" s="6">
        <v>40477.868043981478</v>
      </c>
      <c r="Q1132" s="11"/>
      <c r="R1132" s="19" t="s">
        <v>1980</v>
      </c>
      <c r="S1132" s="11"/>
      <c r="T1132" s="11"/>
      <c r="U1132" s="10" t="str">
        <f>HYPERLINK("https://pbs.twimg.com/profile_images/2906316440/4ed1570f50fd6f70f1b28d458997dd81.jpeg","View")</f>
        <v>View</v>
      </c>
    </row>
    <row r="1133" spans="1:21" ht="40.799999999999997">
      <c r="A1133" s="6">
        <v>43441.698993055557</v>
      </c>
      <c r="B1133" s="7" t="str">
        <f>HYPERLINK("https://twitter.com/Mazinguer88","@Mazinguer88")</f>
        <v>@Mazinguer88</v>
      </c>
      <c r="C1133" s="8" t="s">
        <v>1293</v>
      </c>
      <c r="D1133" s="9" t="s">
        <v>5429</v>
      </c>
      <c r="E1133" s="10" t="str">
        <f>HYPERLINK("https://twitter.com/Mazinguer88/status/1071068455481303042","1071068455481303042")</f>
        <v>1071068455481303042</v>
      </c>
      <c r="F1133" s="11"/>
      <c r="G1133" s="11"/>
      <c r="H1133" s="11"/>
      <c r="I1133" s="13">
        <v>10</v>
      </c>
      <c r="J1133" s="13">
        <v>13</v>
      </c>
      <c r="K1133" s="14" t="str">
        <f t="shared" si="206"/>
        <v>Twitter Web Client</v>
      </c>
      <c r="L1133" s="13">
        <v>1896</v>
      </c>
      <c r="M1133" s="13">
        <v>1900</v>
      </c>
      <c r="N1133" s="13">
        <v>3</v>
      </c>
      <c r="O1133" s="15"/>
      <c r="P1133" s="6">
        <v>42889.69263888889</v>
      </c>
      <c r="Q1133" s="11"/>
      <c r="R1133" s="19" t="s">
        <v>1297</v>
      </c>
      <c r="S1133" s="11"/>
      <c r="T1133" s="11"/>
      <c r="U1133" s="10" t="str">
        <f>HYPERLINK("https://pbs.twimg.com/profile_images/1019971927312609283/3C_8THzh.jpg","View")</f>
        <v>View</v>
      </c>
    </row>
    <row r="1134" spans="1:21" ht="61.2">
      <c r="A1134" s="6">
        <v>43441.698993055557</v>
      </c>
      <c r="B1134" s="7" t="str">
        <f>HYPERLINK("https://twitter.com/EmergitVeritas","@EmergitVeritas")</f>
        <v>@EmergitVeritas</v>
      </c>
      <c r="C1134" s="8" t="s">
        <v>289</v>
      </c>
      <c r="D1134" s="9" t="s">
        <v>2237</v>
      </c>
      <c r="E1134" s="10" t="str">
        <f>HYPERLINK("https://twitter.com/EmergitVeritas/status/1071068452834689026","1071068452834689026")</f>
        <v>1071068452834689026</v>
      </c>
      <c r="F1134" s="18" t="s">
        <v>2238</v>
      </c>
      <c r="G1134" s="11"/>
      <c r="H1134" s="11"/>
      <c r="I1134" s="13">
        <v>0</v>
      </c>
      <c r="J1134" s="13">
        <v>0</v>
      </c>
      <c r="K1134" s="14" t="str">
        <f>HYPERLINK("http://twitter.com/download/android","Twitter for Android")</f>
        <v>Twitter for Android</v>
      </c>
      <c r="L1134" s="13">
        <v>334</v>
      </c>
      <c r="M1134" s="13">
        <v>952</v>
      </c>
      <c r="N1134" s="13">
        <v>3</v>
      </c>
      <c r="O1134" s="15"/>
      <c r="P1134" s="6">
        <v>43312.888599537036</v>
      </c>
      <c r="Q1134" s="18" t="s">
        <v>297</v>
      </c>
      <c r="R1134" s="19" t="s">
        <v>298</v>
      </c>
      <c r="S1134" s="11"/>
      <c r="T1134" s="11"/>
      <c r="U1134" s="10" t="str">
        <f>HYPERLINK("https://pbs.twimg.com/profile_images/1024405565831897089/bfeikAAD.jpg","View")</f>
        <v>View</v>
      </c>
    </row>
    <row r="1135" spans="1:21" ht="91.8">
      <c r="A1135" s="6">
        <v>43441.696967592594</v>
      </c>
      <c r="B1135" s="7" t="str">
        <f>HYPERLINK("https://twitter.com/Ileravelo","@Ileravelo")</f>
        <v>@Ileravelo</v>
      </c>
      <c r="C1135" s="8" t="s">
        <v>2239</v>
      </c>
      <c r="D1135" s="9" t="s">
        <v>2240</v>
      </c>
      <c r="E1135" s="10" t="str">
        <f>HYPERLINK("https://twitter.com/Ileravelo/status/1071067721012531200","1071067721012531200")</f>
        <v>1071067721012531200</v>
      </c>
      <c r="F1135" s="18" t="s">
        <v>2241</v>
      </c>
      <c r="G1135" s="12" t="s">
        <v>2242</v>
      </c>
      <c r="H1135" s="11"/>
      <c r="I1135" s="13">
        <v>1</v>
      </c>
      <c r="J1135" s="13">
        <v>1</v>
      </c>
      <c r="K1135" s="14" t="str">
        <f>HYPERLINK("http://twitter.com/download/iphone","Twitter for iPhone")</f>
        <v>Twitter for iPhone</v>
      </c>
      <c r="L1135" s="13">
        <v>1117</v>
      </c>
      <c r="M1135" s="13">
        <v>2362</v>
      </c>
      <c r="N1135" s="13">
        <v>3</v>
      </c>
      <c r="O1135" s="15"/>
      <c r="P1135" s="6">
        <v>42003.919861111106</v>
      </c>
      <c r="Q1135" s="11"/>
      <c r="R1135" s="19" t="s">
        <v>2243</v>
      </c>
      <c r="S1135" s="11"/>
      <c r="T1135" s="11"/>
      <c r="U1135" s="10" t="str">
        <f>HYPERLINK("https://pbs.twimg.com/profile_images/950006957594816512/gQvTOLkP.jpg","View")</f>
        <v>View</v>
      </c>
    </row>
    <row r="1136" spans="1:21" ht="20.399999999999999">
      <c r="A1136" s="6">
        <v>43441.696770833332</v>
      </c>
      <c r="B1136" s="7" t="str">
        <f>HYPERLINK("https://twitter.com/Paugamus","@Paugamus")</f>
        <v>@Paugamus</v>
      </c>
      <c r="C1136" s="8" t="s">
        <v>5430</v>
      </c>
      <c r="D1136" s="9" t="s">
        <v>5431</v>
      </c>
      <c r="E1136" s="10" t="str">
        <f>HYPERLINK("https://twitter.com/Paugamus/status/1071067647146713089","1071067647146713089")</f>
        <v>1071067647146713089</v>
      </c>
      <c r="F1136" s="12" t="s">
        <v>5401</v>
      </c>
      <c r="G1136" s="11"/>
      <c r="H1136" s="11"/>
      <c r="I1136" s="13">
        <v>4</v>
      </c>
      <c r="J1136" s="13">
        <v>2</v>
      </c>
      <c r="K1136" s="14" t="str">
        <f>HYPERLINK("http://twitter.com","Twitter Web Client")</f>
        <v>Twitter Web Client</v>
      </c>
      <c r="L1136" s="13">
        <v>21783</v>
      </c>
      <c r="M1136" s="13">
        <v>6997</v>
      </c>
      <c r="N1136" s="13">
        <v>122</v>
      </c>
      <c r="O1136" s="15"/>
      <c r="P1136" s="6">
        <v>40198.728321759263</v>
      </c>
      <c r="Q1136" s="18" t="s">
        <v>601</v>
      </c>
      <c r="R1136" s="19" t="s">
        <v>5432</v>
      </c>
      <c r="S1136" s="11"/>
      <c r="T1136" s="11"/>
      <c r="U1136" s="10" t="str">
        <f>HYPERLINK("https://pbs.twimg.com/profile_images/1049303126602403840/gN7Ge1rV.jpg","View")</f>
        <v>View</v>
      </c>
    </row>
    <row r="1137" spans="1:21" ht="20.399999999999999">
      <c r="A1137" s="6">
        <v>43441.695821759262</v>
      </c>
      <c r="B1137" s="7" t="str">
        <f>HYPERLINK("https://twitter.com/ChinoConAfro","@ChinoConAfro")</f>
        <v>@ChinoConAfro</v>
      </c>
      <c r="C1137" s="8" t="s">
        <v>2151</v>
      </c>
      <c r="D1137" s="9" t="s">
        <v>2244</v>
      </c>
      <c r="E1137" s="10" t="str">
        <f>HYPERLINK("https://twitter.com/ChinoConAfro/status/1071067302987264000","1071067302987264000")</f>
        <v>1071067302987264000</v>
      </c>
      <c r="F1137" s="11"/>
      <c r="G1137" s="11"/>
      <c r="H1137" s="11"/>
      <c r="I1137" s="13">
        <v>82</v>
      </c>
      <c r="J1137" s="13">
        <v>152</v>
      </c>
      <c r="K1137" s="14" t="str">
        <f t="shared" ref="K1137:K1139" si="207">HYPERLINK("http://twitter.com/download/iphone","Twitter for iPhone")</f>
        <v>Twitter for iPhone</v>
      </c>
      <c r="L1137" s="13">
        <v>765</v>
      </c>
      <c r="M1137" s="13">
        <v>434</v>
      </c>
      <c r="N1137" s="13">
        <v>10</v>
      </c>
      <c r="O1137" s="15"/>
      <c r="P1137" s="6">
        <v>39999.076863425929</v>
      </c>
      <c r="Q1137" s="18" t="s">
        <v>2154</v>
      </c>
      <c r="R1137" s="19" t="s">
        <v>2155</v>
      </c>
      <c r="S1137" s="11"/>
      <c r="T1137" s="11"/>
      <c r="U1137" s="10" t="str">
        <f>HYPERLINK("https://pbs.twimg.com/profile_images/860235892451160064/jqOSikWe.jpg","View")</f>
        <v>View</v>
      </c>
    </row>
    <row r="1138" spans="1:21" ht="40.799999999999997">
      <c r="A1138" s="6">
        <v>43441.695729166662</v>
      </c>
      <c r="B1138" s="7" t="str">
        <f>HYPERLINK("https://twitter.com/raulsanchezfl","@raulsanchezfl")</f>
        <v>@raulsanchezfl</v>
      </c>
      <c r="C1138" s="8" t="s">
        <v>5433</v>
      </c>
      <c r="D1138" s="9" t="s">
        <v>5434</v>
      </c>
      <c r="E1138" s="10" t="str">
        <f>HYPERLINK("https://twitter.com/raulsanchezfl/status/1071067269092888576","1071067269092888576")</f>
        <v>1071067269092888576</v>
      </c>
      <c r="F1138" s="12" t="s">
        <v>5435</v>
      </c>
      <c r="G1138" s="11"/>
      <c r="H1138" s="11"/>
      <c r="I1138" s="13">
        <v>0</v>
      </c>
      <c r="J1138" s="13">
        <v>0</v>
      </c>
      <c r="K1138" s="14" t="str">
        <f t="shared" si="207"/>
        <v>Twitter for iPhone</v>
      </c>
      <c r="L1138" s="13">
        <v>2305</v>
      </c>
      <c r="M1138" s="13">
        <v>338</v>
      </c>
      <c r="N1138" s="13">
        <v>155</v>
      </c>
      <c r="O1138" s="15"/>
      <c r="P1138" s="6">
        <v>40843.864351851851</v>
      </c>
      <c r="Q1138" s="11"/>
      <c r="R1138" s="19" t="s">
        <v>5436</v>
      </c>
      <c r="S1138" s="12" t="s">
        <v>5437</v>
      </c>
      <c r="T1138" s="11"/>
      <c r="U1138" s="10" t="str">
        <f>HYPERLINK("https://pbs.twimg.com/profile_images/815608107636326401/VxIAzdkq.jpg","View")</f>
        <v>View</v>
      </c>
    </row>
    <row r="1139" spans="1:21" ht="61.2">
      <c r="A1139" s="6">
        <v>43441.695694444439</v>
      </c>
      <c r="B1139" s="7" t="str">
        <f>HYPERLINK("https://twitter.com/SergiogmSergio","@SergiogmSergio")</f>
        <v>@SergiogmSergio</v>
      </c>
      <c r="C1139" s="8" t="s">
        <v>2248</v>
      </c>
      <c r="D1139" s="9" t="s">
        <v>2249</v>
      </c>
      <c r="E1139" s="10" t="str">
        <f>HYPERLINK("https://twitter.com/SergiogmSergio/status/1071067258657669120","1071067258657669120")</f>
        <v>1071067258657669120</v>
      </c>
      <c r="F1139" s="12" t="s">
        <v>981</v>
      </c>
      <c r="G1139" s="12" t="s">
        <v>984</v>
      </c>
      <c r="H1139" s="11"/>
      <c r="I1139" s="13">
        <v>4</v>
      </c>
      <c r="J1139" s="13">
        <v>6</v>
      </c>
      <c r="K1139" s="14" t="str">
        <f t="shared" si="207"/>
        <v>Twitter for iPhone</v>
      </c>
      <c r="L1139" s="13">
        <v>154</v>
      </c>
      <c r="M1139" s="13">
        <v>345</v>
      </c>
      <c r="N1139" s="13">
        <v>0</v>
      </c>
      <c r="O1139" s="15"/>
      <c r="P1139" s="6">
        <v>42071.631851851853</v>
      </c>
      <c r="Q1139" s="11"/>
      <c r="R1139" s="19" t="s">
        <v>2252</v>
      </c>
      <c r="S1139" s="11"/>
      <c r="T1139" s="11"/>
      <c r="U1139" s="10" t="str">
        <f>HYPERLINK("https://pbs.twimg.com/profile_images/759914683843252224/gGYuI175.jpg","View")</f>
        <v>View</v>
      </c>
    </row>
    <row r="1140" spans="1:21" ht="20.399999999999999">
      <c r="A1140" s="6">
        <v>43441.692187499997</v>
      </c>
      <c r="B1140" s="7" t="str">
        <f>HYPERLINK("https://twitter.com/defenemvalencia","@defenemvalencia")</f>
        <v>@defenemvalencia</v>
      </c>
      <c r="C1140" s="8" t="s">
        <v>2431</v>
      </c>
      <c r="D1140" s="9" t="s">
        <v>5438</v>
      </c>
      <c r="E1140" s="10" t="str">
        <f>HYPERLINK("https://twitter.com/defenemvalencia/status/1071065987632586752","1071065987632586752")</f>
        <v>1071065987632586752</v>
      </c>
      <c r="F1140" s="12" t="s">
        <v>2803</v>
      </c>
      <c r="G1140" s="11"/>
      <c r="H1140" s="11"/>
      <c r="I1140" s="13">
        <v>1</v>
      </c>
      <c r="J1140" s="13">
        <v>0</v>
      </c>
      <c r="K1140" s="14" t="str">
        <f>HYPERLINK("http://www.facebook.com/twitter","Facebook")</f>
        <v>Facebook</v>
      </c>
      <c r="L1140" s="13">
        <v>428</v>
      </c>
      <c r="M1140" s="13">
        <v>353</v>
      </c>
      <c r="N1140" s="13">
        <v>4</v>
      </c>
      <c r="O1140" s="15"/>
      <c r="P1140" s="6">
        <v>41943.394594907411</v>
      </c>
      <c r="Q1140" s="18" t="s">
        <v>467</v>
      </c>
      <c r="R1140" s="17"/>
      <c r="S1140" s="12" t="s">
        <v>2433</v>
      </c>
      <c r="T1140" s="11"/>
      <c r="U1140" s="10" t="str">
        <f>HYPERLINK("https://pbs.twimg.com/profile_images/911295114097684480/GWg45viE.jpg","View")</f>
        <v>View</v>
      </c>
    </row>
    <row r="1141" spans="1:21" ht="20.399999999999999">
      <c r="A1141" s="6">
        <v>43441.690717592588</v>
      </c>
      <c r="B1141" s="7" t="str">
        <f>HYPERLINK("https://twitter.com/Ahora_PODEVOX","@Ahora_PODEVOX")</f>
        <v>@Ahora_PODEVOX</v>
      </c>
      <c r="C1141" s="8" t="s">
        <v>2254</v>
      </c>
      <c r="D1141" s="9" t="s">
        <v>2255</v>
      </c>
      <c r="E1141" s="10" t="str">
        <f>HYPERLINK("https://twitter.com/Ahora_PODEVOX/status/1071065456344215557","1071065456344215557")</f>
        <v>1071065456344215557</v>
      </c>
      <c r="F1141" s="11"/>
      <c r="G1141" s="12" t="s">
        <v>2256</v>
      </c>
      <c r="H1141" s="11"/>
      <c r="I1141" s="13">
        <v>8</v>
      </c>
      <c r="J1141" s="13">
        <v>14</v>
      </c>
      <c r="K1141" s="14" t="str">
        <f>HYPERLINK("http://twitter.com/download/android","Twitter for Android")</f>
        <v>Twitter for Android</v>
      </c>
      <c r="L1141" s="13">
        <v>197</v>
      </c>
      <c r="M1141" s="13">
        <v>37</v>
      </c>
      <c r="N1141" s="13">
        <v>0</v>
      </c>
      <c r="O1141" s="15"/>
      <c r="P1141" s="6">
        <v>43440.514467592591</v>
      </c>
      <c r="Q1141" s="18" t="s">
        <v>2257</v>
      </c>
      <c r="R1141" s="19" t="s">
        <v>2259</v>
      </c>
      <c r="S1141" s="11"/>
      <c r="T1141" s="11"/>
      <c r="U1141" s="10" t="str">
        <f>HYPERLINK("https://pbs.twimg.com/profile_images/1070692453269860353/J3qFWXFa.jpg","View")</f>
        <v>View</v>
      </c>
    </row>
    <row r="1142" spans="1:21" ht="51">
      <c r="A1142" s="6">
        <v>43441.689687499995</v>
      </c>
      <c r="B1142" s="7" t="str">
        <f>HYPERLINK("https://twitter.com/publico_es","@publico_es")</f>
        <v>@publico_es</v>
      </c>
      <c r="C1142" s="8" t="s">
        <v>2131</v>
      </c>
      <c r="D1142" s="9" t="s">
        <v>2260</v>
      </c>
      <c r="E1142" s="10" t="str">
        <f>HYPERLINK("https://twitter.com/publico_es/status/1071065082640109568","1071065082640109568")</f>
        <v>1071065082640109568</v>
      </c>
      <c r="F1142" s="12" t="s">
        <v>2261</v>
      </c>
      <c r="G1142" s="12" t="s">
        <v>2262</v>
      </c>
      <c r="H1142" s="11"/>
      <c r="I1142" s="13">
        <v>14</v>
      </c>
      <c r="J1142" s="13">
        <v>15</v>
      </c>
      <c r="K1142" s="14" t="str">
        <f>HYPERLINK("http://twitter.com","Twitter Web Client")</f>
        <v>Twitter Web Client</v>
      </c>
      <c r="L1142" s="13">
        <v>913665</v>
      </c>
      <c r="M1142" s="13">
        <v>1457</v>
      </c>
      <c r="N1142" s="13">
        <v>14845</v>
      </c>
      <c r="O1142" s="16" t="s">
        <v>25</v>
      </c>
      <c r="P1142" s="6">
        <v>39779.559525462959</v>
      </c>
      <c r="Q1142" s="18" t="s">
        <v>100</v>
      </c>
      <c r="R1142" s="19" t="s">
        <v>2135</v>
      </c>
      <c r="S1142" s="12" t="s">
        <v>2136</v>
      </c>
      <c r="T1142" s="11"/>
      <c r="U1142" s="10" t="str">
        <f>HYPERLINK("https://pbs.twimg.com/profile_images/1048242435682422786/FdzZWHU8.jpg","View")</f>
        <v>View</v>
      </c>
    </row>
    <row r="1143" spans="1:21" ht="20.399999999999999">
      <c r="A1143" s="6">
        <v>43441.689212962963</v>
      </c>
      <c r="B1143" s="7" t="str">
        <f>HYPERLINK("https://twitter.com/fafito64","@fafito64")</f>
        <v>@fafito64</v>
      </c>
      <c r="C1143" s="8" t="s">
        <v>5440</v>
      </c>
      <c r="D1143" s="9" t="s">
        <v>163</v>
      </c>
      <c r="E1143" s="10" t="str">
        <f>HYPERLINK("https://twitter.com/fafito64/status/1071064909641891841","1071064909641891841")</f>
        <v>1071064909641891841</v>
      </c>
      <c r="F1143" s="12" t="s">
        <v>166</v>
      </c>
      <c r="G1143" s="11"/>
      <c r="H1143" s="11"/>
      <c r="I1143" s="13">
        <v>0</v>
      </c>
      <c r="J1143" s="13">
        <v>0</v>
      </c>
      <c r="K1143" s="14" t="str">
        <f>HYPERLINK("http://twitter.com/download/android","Twitter for Android")</f>
        <v>Twitter for Android</v>
      </c>
      <c r="L1143" s="13">
        <v>34</v>
      </c>
      <c r="M1143" s="13">
        <v>43</v>
      </c>
      <c r="N1143" s="13">
        <v>1</v>
      </c>
      <c r="O1143" s="15"/>
      <c r="P1143" s="6">
        <v>40687.928703703699</v>
      </c>
      <c r="Q1143" s="18" t="s">
        <v>5441</v>
      </c>
      <c r="R1143" s="19" t="s">
        <v>5442</v>
      </c>
      <c r="S1143" s="12" t="s">
        <v>5443</v>
      </c>
      <c r="T1143" s="11"/>
      <c r="U1143" s="10" t="str">
        <f>HYPERLINK("https://pbs.twimg.com/profile_images/737772494929547266/sIZwEYey.jpg","View")</f>
        <v>View</v>
      </c>
    </row>
    <row r="1144" spans="1:21" ht="40.799999999999997">
      <c r="A1144" s="6">
        <v>43441.688333333332</v>
      </c>
      <c r="B1144" s="7" t="str">
        <f>HYPERLINK("https://twitter.com/sandracoherente","@sandracoherente")</f>
        <v>@sandracoherente</v>
      </c>
      <c r="C1144" s="8" t="s">
        <v>5444</v>
      </c>
      <c r="D1144" s="9" t="s">
        <v>879</v>
      </c>
      <c r="E1144" s="10" t="str">
        <f>HYPERLINK("https://twitter.com/sandracoherente/status/1071064591717818368","1071064591717818368")</f>
        <v>1071064591717818368</v>
      </c>
      <c r="F1144" s="12" t="s">
        <v>881</v>
      </c>
      <c r="G1144" s="11"/>
      <c r="H1144" s="11"/>
      <c r="I1144" s="13">
        <v>0</v>
      </c>
      <c r="J1144" s="13">
        <v>0</v>
      </c>
      <c r="K1144" s="14" t="str">
        <f>HYPERLINK("https://buffer.com","Buffer")</f>
        <v>Buffer</v>
      </c>
      <c r="L1144" s="13">
        <v>2698</v>
      </c>
      <c r="M1144" s="13">
        <v>3171</v>
      </c>
      <c r="N1144" s="13">
        <v>24</v>
      </c>
      <c r="O1144" s="15"/>
      <c r="P1144" s="6">
        <v>42192.382534722223</v>
      </c>
      <c r="Q1144" s="18" t="s">
        <v>454</v>
      </c>
      <c r="R1144" s="19" t="s">
        <v>5445</v>
      </c>
      <c r="S1144" s="11"/>
      <c r="T1144" s="11"/>
      <c r="U1144" s="10" t="str">
        <f>HYPERLINK("https://pbs.twimg.com/profile_images/618677107992985600/3IKpG3aw.jpg","View")</f>
        <v>View</v>
      </c>
    </row>
    <row r="1145" spans="1:21" ht="40.799999999999997">
      <c r="A1145" s="6">
        <v>43441.688206018516</v>
      </c>
      <c r="B1145" s="7" t="str">
        <f>HYPERLINK("https://twitter.com/charliejuc","@charliejuc")</f>
        <v>@charliejuc</v>
      </c>
      <c r="C1145" s="8" t="s">
        <v>5446</v>
      </c>
      <c r="D1145" s="9" t="s">
        <v>5447</v>
      </c>
      <c r="E1145" s="10" t="str">
        <f>HYPERLINK("https://twitter.com/charliejuc/status/1071064546536775680","1071064546536775680")</f>
        <v>1071064546536775680</v>
      </c>
      <c r="F1145" s="18" t="s">
        <v>5448</v>
      </c>
      <c r="G1145" s="11"/>
      <c r="H1145" s="11"/>
      <c r="I1145" s="13">
        <v>0</v>
      </c>
      <c r="J1145" s="13">
        <v>1</v>
      </c>
      <c r="K1145" s="14" t="str">
        <f>HYPERLINK("http://twitter.com","Twitter Web Client")</f>
        <v>Twitter Web Client</v>
      </c>
      <c r="L1145" s="13">
        <v>238</v>
      </c>
      <c r="M1145" s="13">
        <v>175</v>
      </c>
      <c r="N1145" s="13">
        <v>23</v>
      </c>
      <c r="O1145" s="15"/>
      <c r="P1145" s="6">
        <v>42179.416898148149</v>
      </c>
      <c r="Q1145" s="18" t="s">
        <v>964</v>
      </c>
      <c r="R1145" s="19" t="s">
        <v>5449</v>
      </c>
      <c r="S1145" s="12" t="s">
        <v>5450</v>
      </c>
      <c r="T1145" s="11"/>
      <c r="U1145" s="10" t="str">
        <f>HYPERLINK("https://pbs.twimg.com/profile_images/963060264290615296/vL7ItY-a.jpg","View")</f>
        <v>View</v>
      </c>
    </row>
    <row r="1146" spans="1:21" ht="40.799999999999997">
      <c r="A1146" s="6">
        <v>43441.6875</v>
      </c>
      <c r="B1146" s="7" t="str">
        <f>HYPERLINK("https://twitter.com/VerdaderaIzqda","@VerdaderaIzqda")</f>
        <v>@VerdaderaIzqda</v>
      </c>
      <c r="C1146" s="8" t="s">
        <v>922</v>
      </c>
      <c r="D1146" s="9" t="s">
        <v>5451</v>
      </c>
      <c r="E1146" s="10" t="str">
        <f>HYPERLINK("https://twitter.com/VerdaderaIzqda/status/1071064288742191106","1071064288742191106")</f>
        <v>1071064288742191106</v>
      </c>
      <c r="F1146" s="12" t="s">
        <v>5452</v>
      </c>
      <c r="G1146" s="11"/>
      <c r="H1146" s="11"/>
      <c r="I1146" s="13">
        <v>16</v>
      </c>
      <c r="J1146" s="13">
        <v>15</v>
      </c>
      <c r="K1146" s="14" t="str">
        <f>HYPERLINK("https://about.twitter.com/products/tweetdeck","TweetDeck")</f>
        <v>TweetDeck</v>
      </c>
      <c r="L1146" s="13">
        <v>37389</v>
      </c>
      <c r="M1146" s="13">
        <v>16536</v>
      </c>
      <c r="N1146" s="13">
        <v>286</v>
      </c>
      <c r="O1146" s="15"/>
      <c r="P1146" s="6">
        <v>40716.581192129626</v>
      </c>
      <c r="Q1146" s="18" t="s">
        <v>42</v>
      </c>
      <c r="R1146" s="19" t="s">
        <v>927</v>
      </c>
      <c r="S1146" s="12" t="s">
        <v>928</v>
      </c>
      <c r="T1146" s="11"/>
      <c r="U1146" s="10" t="str">
        <f>HYPERLINK("https://pbs.twimg.com/profile_images/1407748160/contra_el_comunismo.jpg","View")</f>
        <v>View</v>
      </c>
    </row>
    <row r="1147" spans="1:21" ht="71.400000000000006">
      <c r="A1147" s="6">
        <v>43441.686712962968</v>
      </c>
      <c r="B1147" s="7" t="str">
        <f>HYPERLINK("https://twitter.com/fuideizquierdas","@fuideizquierdas")</f>
        <v>@fuideizquierdas</v>
      </c>
      <c r="C1147" s="8" t="s">
        <v>2264</v>
      </c>
      <c r="D1147" s="9" t="s">
        <v>2265</v>
      </c>
      <c r="E1147" s="10" t="str">
        <f>HYPERLINK("https://twitter.com/fuideizquierdas/status/1071064003651268609","1071064003651268609")</f>
        <v>1071064003651268609</v>
      </c>
      <c r="F1147" s="12" t="s">
        <v>2267</v>
      </c>
      <c r="G1147" s="12" t="s">
        <v>2268</v>
      </c>
      <c r="H1147" s="11"/>
      <c r="I1147" s="13">
        <v>0</v>
      </c>
      <c r="J1147" s="13">
        <v>0</v>
      </c>
      <c r="K1147" s="14" t="str">
        <f>HYPERLINK("http://twitter.com/download/iphone","Twitter for iPhone")</f>
        <v>Twitter for iPhone</v>
      </c>
      <c r="L1147" s="13">
        <v>16</v>
      </c>
      <c r="M1147" s="13">
        <v>93</v>
      </c>
      <c r="N1147" s="13">
        <v>0</v>
      </c>
      <c r="O1147" s="15"/>
      <c r="P1147" s="6">
        <v>43440.559583333335</v>
      </c>
      <c r="Q1147" s="11"/>
      <c r="R1147" s="19" t="s">
        <v>2269</v>
      </c>
      <c r="S1147" s="11"/>
      <c r="T1147" s="11"/>
      <c r="U1147" s="10" t="str">
        <f>HYPERLINK("https://pbs.twimg.com/profile_images/1070656164495585287/CSzmsWmT.jpg","View")</f>
        <v>View</v>
      </c>
    </row>
    <row r="1148" spans="1:21" ht="51">
      <c r="A1148" s="6">
        <v>43441.686527777776</v>
      </c>
      <c r="B1148" s="7" t="str">
        <f>HYPERLINK("https://twitter.com/PorFinLibres","@PorFinLibres")</f>
        <v>@PorFinLibres</v>
      </c>
      <c r="C1148" s="8" t="s">
        <v>2272</v>
      </c>
      <c r="D1148" s="9" t="s">
        <v>2273</v>
      </c>
      <c r="E1148" s="10" t="str">
        <f>HYPERLINK("https://twitter.com/PorFinLibres/status/1071063938039771137","1071063938039771137")</f>
        <v>1071063938039771137</v>
      </c>
      <c r="F1148" s="12" t="s">
        <v>2275</v>
      </c>
      <c r="G1148" s="11"/>
      <c r="H1148" s="11"/>
      <c r="I1148" s="13">
        <v>0</v>
      </c>
      <c r="J1148" s="13">
        <v>1</v>
      </c>
      <c r="K1148" s="14" t="str">
        <f>HYPERLINK("http://twitter.com","Twitter Web Client")</f>
        <v>Twitter Web Client</v>
      </c>
      <c r="L1148" s="13">
        <v>96</v>
      </c>
      <c r="M1148" s="13">
        <v>388</v>
      </c>
      <c r="N1148" s="13">
        <v>0</v>
      </c>
      <c r="O1148" s="15"/>
      <c r="P1148" s="6">
        <v>40857.04850694444</v>
      </c>
      <c r="Q1148" s="18" t="s">
        <v>42</v>
      </c>
      <c r="R1148" s="19" t="s">
        <v>2276</v>
      </c>
      <c r="S1148" s="11"/>
      <c r="T1148" s="11"/>
      <c r="U1148" s="10" t="str">
        <f>HYPERLINK("https://pbs.twimg.com/profile_images/1069972851090968578/ZSc-8E33.jpg","View")</f>
        <v>View</v>
      </c>
    </row>
    <row r="1149" spans="1:21" ht="51">
      <c r="A1149" s="6">
        <v>43441.686400462961</v>
      </c>
      <c r="B1149" s="7" t="str">
        <f>HYPERLINK("https://twitter.com/AlminarDe","@AlminarDe")</f>
        <v>@AlminarDe</v>
      </c>
      <c r="C1149" s="8" t="s">
        <v>5453</v>
      </c>
      <c r="D1149" s="9" t="s">
        <v>5454</v>
      </c>
      <c r="E1149" s="10" t="str">
        <f>HYPERLINK("https://twitter.com/AlminarDe/status/1071063891365519367","1071063891365519367")</f>
        <v>1071063891365519367</v>
      </c>
      <c r="F1149" s="18" t="s">
        <v>5455</v>
      </c>
      <c r="G1149" s="11"/>
      <c r="H1149" s="11"/>
      <c r="I1149" s="13">
        <v>0</v>
      </c>
      <c r="J1149" s="13">
        <v>0</v>
      </c>
      <c r="K1149" s="14" t="str">
        <f>HYPERLINK("http://twitter.com/download/android","Twitter for Android")</f>
        <v>Twitter for Android</v>
      </c>
      <c r="L1149" s="13">
        <v>37</v>
      </c>
      <c r="M1149" s="13">
        <v>105</v>
      </c>
      <c r="N1149" s="13">
        <v>0</v>
      </c>
      <c r="O1149" s="15"/>
      <c r="P1149" s="6">
        <v>43351.538680555561</v>
      </c>
      <c r="Q1149" s="18" t="s">
        <v>5456</v>
      </c>
      <c r="R1149" s="19" t="s">
        <v>5457</v>
      </c>
      <c r="S1149" s="12" t="s">
        <v>5458</v>
      </c>
      <c r="T1149" s="11"/>
      <c r="U1149" s="10" t="str">
        <f>HYPERLINK("https://pbs.twimg.com/profile_images/1049528748255703040/Z_v2bG1J.jpg","View")</f>
        <v>View</v>
      </c>
    </row>
    <row r="1150" spans="1:21" ht="20.399999999999999">
      <c r="A1150" s="6">
        <v>43441.685115740736</v>
      </c>
      <c r="B1150" s="7" t="str">
        <f>HYPERLINK("https://twitter.com/vehuar","@vehuar")</f>
        <v>@vehuar</v>
      </c>
      <c r="C1150" s="8" t="s">
        <v>5459</v>
      </c>
      <c r="D1150" s="9" t="s">
        <v>5460</v>
      </c>
      <c r="E1150" s="10" t="str">
        <f>HYPERLINK("https://twitter.com/vehuar/status/1071063424011038720","1071063424011038720")</f>
        <v>1071063424011038720</v>
      </c>
      <c r="F1150" s="11"/>
      <c r="G1150" s="11"/>
      <c r="H1150" s="11"/>
      <c r="I1150" s="13">
        <v>1</v>
      </c>
      <c r="J1150" s="13">
        <v>4</v>
      </c>
      <c r="K1150" s="14" t="str">
        <f>HYPERLINK("http://twitter.com/download/iphone","Twitter for iPhone")</f>
        <v>Twitter for iPhone</v>
      </c>
      <c r="L1150" s="13">
        <v>172</v>
      </c>
      <c r="M1150" s="13">
        <v>379</v>
      </c>
      <c r="N1150" s="13">
        <v>0</v>
      </c>
      <c r="O1150" s="15"/>
      <c r="P1150" s="6">
        <v>41312.651226851856</v>
      </c>
      <c r="Q1150" s="11"/>
      <c r="R1150" s="17"/>
      <c r="S1150" s="11"/>
      <c r="T1150" s="11"/>
      <c r="U1150" s="10" t="str">
        <f>HYPERLINK("https://pbs.twimg.com/profile_images/683911285994582016/fzuQenR4.jpg","View")</f>
        <v>View</v>
      </c>
    </row>
    <row r="1151" spans="1:21" ht="20.399999999999999">
      <c r="A1151" s="6">
        <v>43441.684270833328</v>
      </c>
      <c r="B1151" s="7" t="str">
        <f>HYPERLINK("https://twitter.com/PabloCheFLuna","@PabloCheFLuna")</f>
        <v>@PabloCheFLuna</v>
      </c>
      <c r="C1151" s="8" t="s">
        <v>5461</v>
      </c>
      <c r="D1151" s="9" t="s">
        <v>5462</v>
      </c>
      <c r="E1151" s="10" t="str">
        <f>HYPERLINK("https://twitter.com/PabloCheFLuna/status/1071063120385323008","1071063120385323008")</f>
        <v>1071063120385323008</v>
      </c>
      <c r="F1151" s="12" t="s">
        <v>5463</v>
      </c>
      <c r="G1151" s="11"/>
      <c r="H1151" s="11"/>
      <c r="I1151" s="13">
        <v>0</v>
      </c>
      <c r="J1151" s="13">
        <v>0</v>
      </c>
      <c r="K1151" s="14" t="str">
        <f>HYPERLINK("http://instagram.com","Instagram")</f>
        <v>Instagram</v>
      </c>
      <c r="L1151" s="13">
        <v>607</v>
      </c>
      <c r="M1151" s="13">
        <v>2149</v>
      </c>
      <c r="N1151" s="13">
        <v>4</v>
      </c>
      <c r="O1151" s="15"/>
      <c r="P1151" s="6">
        <v>41653.337696759263</v>
      </c>
      <c r="Q1151" s="11"/>
      <c r="R1151" s="19" t="s">
        <v>5464</v>
      </c>
      <c r="S1151" s="11"/>
      <c r="T1151" s="11"/>
      <c r="U1151" s="10" t="str">
        <f>HYPERLINK("https://pbs.twimg.com/profile_images/749520213390000129/Vo749lo6.jpg","View")</f>
        <v>View</v>
      </c>
    </row>
    <row r="1152" spans="1:21" ht="40.799999999999997">
      <c r="A1152" s="6">
        <v>43441.684224537035</v>
      </c>
      <c r="B1152" s="7" t="str">
        <f>HYPERLINK("https://twitter.com/ahijadojj","@ahijadojj")</f>
        <v>@ahijadojj</v>
      </c>
      <c r="C1152" s="8" t="s">
        <v>2278</v>
      </c>
      <c r="D1152" s="9" t="s">
        <v>2279</v>
      </c>
      <c r="E1152" s="10" t="str">
        <f>HYPERLINK("https://twitter.com/ahijadojj/status/1071063102437945350","1071063102437945350")</f>
        <v>1071063102437945350</v>
      </c>
      <c r="F1152" s="18" t="s">
        <v>2280</v>
      </c>
      <c r="G1152" s="11"/>
      <c r="H1152" s="11"/>
      <c r="I1152" s="13">
        <v>0</v>
      </c>
      <c r="J1152" s="13">
        <v>0</v>
      </c>
      <c r="K1152" s="14" t="str">
        <f t="shared" ref="K1152:K1153" si="208">HYPERLINK("http://twitter.com/download/iphone","Twitter for iPhone")</f>
        <v>Twitter for iPhone</v>
      </c>
      <c r="L1152" s="13">
        <v>526</v>
      </c>
      <c r="M1152" s="13">
        <v>1495</v>
      </c>
      <c r="N1152" s="13">
        <v>23</v>
      </c>
      <c r="O1152" s="15"/>
      <c r="P1152" s="6">
        <v>41042.739537037036</v>
      </c>
      <c r="Q1152" s="18" t="s">
        <v>2282</v>
      </c>
      <c r="R1152" s="19" t="s">
        <v>2283</v>
      </c>
      <c r="S1152" s="11"/>
      <c r="T1152" s="11"/>
      <c r="U1152" s="10" t="str">
        <f>HYPERLINK("https://pbs.twimg.com/profile_images/1045742611305295877/gF7atlvj.jpg","View")</f>
        <v>View</v>
      </c>
    </row>
    <row r="1153" spans="1:21" ht="30.6">
      <c r="A1153" s="6">
        <v>43441.682141203702</v>
      </c>
      <c r="B1153" s="7" t="str">
        <f>HYPERLINK("https://twitter.com/frcub","@frcub")</f>
        <v>@frcub</v>
      </c>
      <c r="C1153" s="8" t="s">
        <v>2286</v>
      </c>
      <c r="D1153" s="9" t="s">
        <v>2287</v>
      </c>
      <c r="E1153" s="10" t="str">
        <f>HYPERLINK("https://twitter.com/frcub/status/1071062348843180038","1071062348843180038")</f>
        <v>1071062348843180038</v>
      </c>
      <c r="F1153" s="12" t="s">
        <v>2288</v>
      </c>
      <c r="G1153" s="11"/>
      <c r="H1153" s="11"/>
      <c r="I1153" s="13">
        <v>0</v>
      </c>
      <c r="J1153" s="13">
        <v>0</v>
      </c>
      <c r="K1153" s="14" t="str">
        <f t="shared" si="208"/>
        <v>Twitter for iPhone</v>
      </c>
      <c r="L1153" s="13">
        <v>5016</v>
      </c>
      <c r="M1153" s="13">
        <v>3887</v>
      </c>
      <c r="N1153" s="13">
        <v>58</v>
      </c>
      <c r="O1153" s="15"/>
      <c r="P1153" s="6">
        <v>40664.317858796298</v>
      </c>
      <c r="Q1153" s="18" t="s">
        <v>42</v>
      </c>
      <c r="R1153" s="19" t="s">
        <v>2289</v>
      </c>
      <c r="S1153" s="11"/>
      <c r="T1153" s="11"/>
      <c r="U1153" s="10" t="str">
        <f>HYPERLINK("https://pbs.twimg.com/profile_images/1041719046293647360/7xigqmIy.jpg","View")</f>
        <v>View</v>
      </c>
    </row>
    <row r="1154" spans="1:21" ht="51">
      <c r="A1154" s="6">
        <v>43441.678831018522</v>
      </c>
      <c r="B1154" s="7" t="str">
        <f>HYPERLINK("https://twitter.com/RaPiqFu","@RaPiqFu")</f>
        <v>@RaPiqFu</v>
      </c>
      <c r="C1154" s="8" t="s">
        <v>1947</v>
      </c>
      <c r="D1154" s="9" t="s">
        <v>2292</v>
      </c>
      <c r="E1154" s="10" t="str">
        <f>HYPERLINK("https://twitter.com/RaPiqFu/status/1071061147019853826","1071061147019853826")</f>
        <v>1071061147019853826</v>
      </c>
      <c r="F1154" s="12" t="s">
        <v>2293</v>
      </c>
      <c r="G1154" s="11"/>
      <c r="H1154" s="11"/>
      <c r="I1154" s="13">
        <v>0</v>
      </c>
      <c r="J1154" s="13">
        <v>1</v>
      </c>
      <c r="K1154" s="14" t="str">
        <f t="shared" ref="K1154:K1155" si="209">HYPERLINK("http://twitter.com/download/android","Twitter for Android")</f>
        <v>Twitter for Android</v>
      </c>
      <c r="L1154" s="13">
        <v>1591</v>
      </c>
      <c r="M1154" s="13">
        <v>813</v>
      </c>
      <c r="N1154" s="13">
        <v>21</v>
      </c>
      <c r="O1154" s="15"/>
      <c r="P1154" s="6">
        <v>40595.905127314814</v>
      </c>
      <c r="Q1154" s="18" t="s">
        <v>126</v>
      </c>
      <c r="R1154" s="19" t="s">
        <v>1950</v>
      </c>
      <c r="S1154" s="11"/>
      <c r="T1154" s="11"/>
      <c r="U1154" s="10" t="str">
        <f>HYPERLINK("https://pbs.twimg.com/profile_images/1069925999566041088/3oxibisV.jpg","View")</f>
        <v>View</v>
      </c>
    </row>
    <row r="1155" spans="1:21" ht="51">
      <c r="A1155" s="6">
        <v>43441.677199074074</v>
      </c>
      <c r="B1155" s="7" t="str">
        <f>HYPERLINK("https://twitter.com/SheltonClyde2","@SheltonClyde2")</f>
        <v>@SheltonClyde2</v>
      </c>
      <c r="C1155" s="8" t="s">
        <v>2294</v>
      </c>
      <c r="D1155" s="9" t="s">
        <v>2295</v>
      </c>
      <c r="E1155" s="10" t="str">
        <f>HYPERLINK("https://twitter.com/SheltonClyde2/status/1071060557330042880","1071060557330042880")</f>
        <v>1071060557330042880</v>
      </c>
      <c r="F1155" s="12" t="s">
        <v>403</v>
      </c>
      <c r="G1155" s="11"/>
      <c r="H1155" s="11"/>
      <c r="I1155" s="13">
        <v>225</v>
      </c>
      <c r="J1155" s="13">
        <v>180</v>
      </c>
      <c r="K1155" s="14" t="str">
        <f t="shared" si="209"/>
        <v>Twitter for Android</v>
      </c>
      <c r="L1155" s="13">
        <v>795</v>
      </c>
      <c r="M1155" s="13">
        <v>985</v>
      </c>
      <c r="N1155" s="13">
        <v>1</v>
      </c>
      <c r="O1155" s="15"/>
      <c r="P1155" s="6">
        <v>43404.367812500001</v>
      </c>
      <c r="Q1155" s="18" t="s">
        <v>2296</v>
      </c>
      <c r="R1155" s="19" t="s">
        <v>2297</v>
      </c>
      <c r="S1155" s="11"/>
      <c r="T1155" s="11"/>
      <c r="U1155" s="10" t="str">
        <f>HYPERLINK("https://pbs.twimg.com/profile_images/1057542623689359360/12LOX6NR.jpg","View")</f>
        <v>View</v>
      </c>
    </row>
    <row r="1156" spans="1:21" ht="61.2">
      <c r="A1156" s="6">
        <v>43441.676203703704</v>
      </c>
      <c r="B1156" s="7" t="str">
        <f>HYPERLINK("https://twitter.com/ElAngelFacha","@ElAngelFacha")</f>
        <v>@ElAngelFacha</v>
      </c>
      <c r="C1156" s="8" t="s">
        <v>1970</v>
      </c>
      <c r="D1156" s="9" t="s">
        <v>2298</v>
      </c>
      <c r="E1156" s="10" t="str">
        <f>HYPERLINK("https://twitter.com/ElAngelFacha/status/1071060196171149314","1071060196171149314")</f>
        <v>1071060196171149314</v>
      </c>
      <c r="F1156" s="11"/>
      <c r="G1156" s="12" t="s">
        <v>2299</v>
      </c>
      <c r="H1156" s="11"/>
      <c r="I1156" s="13">
        <v>25</v>
      </c>
      <c r="J1156" s="13">
        <v>43</v>
      </c>
      <c r="K1156" s="14" t="str">
        <f>HYPERLINK("http://twitter.com","Twitter Web Client")</f>
        <v>Twitter Web Client</v>
      </c>
      <c r="L1156" s="13">
        <v>1472</v>
      </c>
      <c r="M1156" s="13">
        <v>2059</v>
      </c>
      <c r="N1156" s="13">
        <v>4</v>
      </c>
      <c r="O1156" s="15"/>
      <c r="P1156" s="6">
        <v>42923.928784722222</v>
      </c>
      <c r="Q1156" s="18" t="s">
        <v>1973</v>
      </c>
      <c r="R1156" s="19" t="s">
        <v>1974</v>
      </c>
      <c r="S1156" s="11"/>
      <c r="T1156" s="11"/>
      <c r="U1156" s="10" t="str">
        <f>HYPERLINK("https://pbs.twimg.com/profile_images/1068670609935208450/c84QvuV4.jpg","View")</f>
        <v>View</v>
      </c>
    </row>
    <row r="1157" spans="1:21" ht="40.799999999999997">
      <c r="A1157" s="6">
        <v>43441.675821759258</v>
      </c>
      <c r="B1157" s="7" t="str">
        <f>HYPERLINK("https://twitter.com/AlcaideMarga","@AlcaideMarga")</f>
        <v>@AlcaideMarga</v>
      </c>
      <c r="C1157" s="8" t="s">
        <v>5359</v>
      </c>
      <c r="D1157" s="9" t="s">
        <v>5465</v>
      </c>
      <c r="E1157" s="10" t="str">
        <f>HYPERLINK("https://twitter.com/AlcaideMarga/status/1071060058258186240","1071060058258186240")</f>
        <v>1071060058258186240</v>
      </c>
      <c r="F1157" s="12" t="s">
        <v>3258</v>
      </c>
      <c r="G1157" s="11"/>
      <c r="H1157" s="11"/>
      <c r="I1157" s="13">
        <v>0</v>
      </c>
      <c r="J1157" s="13">
        <v>2</v>
      </c>
      <c r="K1157" s="14" t="str">
        <f>HYPERLINK("http://twitter.com/download/android","Twitter for Android")</f>
        <v>Twitter for Android</v>
      </c>
      <c r="L1157" s="13">
        <v>797</v>
      </c>
      <c r="M1157" s="13">
        <v>1237</v>
      </c>
      <c r="N1157" s="13">
        <v>3</v>
      </c>
      <c r="O1157" s="15"/>
      <c r="P1157" s="6">
        <v>43105.863912037035</v>
      </c>
      <c r="Q1157" s="18" t="s">
        <v>964</v>
      </c>
      <c r="R1157" s="19" t="s">
        <v>5362</v>
      </c>
      <c r="S1157" s="11"/>
      <c r="T1157" s="11"/>
      <c r="U1157" s="10" t="str">
        <f>HYPERLINK("https://pbs.twimg.com/profile_images/1051525111914860544/HP0510BS.jpg","View")</f>
        <v>View</v>
      </c>
    </row>
    <row r="1158" spans="1:21" ht="61.2">
      <c r="A1158" s="6">
        <v>43441.67523148148</v>
      </c>
      <c r="B1158" s="7" t="str">
        <f>HYPERLINK("https://twitter.com/OEquidad","@OEquidad")</f>
        <v>@OEquidad</v>
      </c>
      <c r="C1158" s="8" t="s">
        <v>2309</v>
      </c>
      <c r="D1158" s="9" t="s">
        <v>2310</v>
      </c>
      <c r="E1158" s="10" t="str">
        <f>HYPERLINK("https://twitter.com/OEquidad/status/1071059840817094656","1071059840817094656")</f>
        <v>1071059840817094656</v>
      </c>
      <c r="F1158" s="18" t="s">
        <v>2314</v>
      </c>
      <c r="G1158" s="11"/>
      <c r="H1158" s="11"/>
      <c r="I1158" s="13">
        <v>0</v>
      </c>
      <c r="J1158" s="13">
        <v>0</v>
      </c>
      <c r="K1158" s="14" t="str">
        <f>HYPERLINK("http://twitter.com/download/iphone","Twitter for iPhone")</f>
        <v>Twitter for iPhone</v>
      </c>
      <c r="L1158" s="13">
        <v>148</v>
      </c>
      <c r="M1158" s="13">
        <v>701</v>
      </c>
      <c r="N1158" s="13">
        <v>0</v>
      </c>
      <c r="O1158" s="15"/>
      <c r="P1158" s="6">
        <v>43329.579606481479</v>
      </c>
      <c r="Q1158" s="18" t="s">
        <v>41</v>
      </c>
      <c r="R1158" s="19" t="s">
        <v>2315</v>
      </c>
      <c r="S1158" s="11"/>
      <c r="T1158" s="11"/>
      <c r="U1158" s="10" t="str">
        <f>HYPERLINK("https://pbs.twimg.com/profile_images/1030476800353337345/uFi5OkNW.jpg","View")</f>
        <v>View</v>
      </c>
    </row>
    <row r="1159" spans="1:21" ht="51">
      <c r="A1159" s="6">
        <v>43441.675150462965</v>
      </c>
      <c r="B1159" s="7" t="str">
        <f>HYPERLINK("https://twitter.com/JJBH62","@JJBH62")</f>
        <v>@JJBH62</v>
      </c>
      <c r="C1159" s="8" t="s">
        <v>2316</v>
      </c>
      <c r="D1159" s="9" t="s">
        <v>2317</v>
      </c>
      <c r="E1159" s="10" t="str">
        <f>HYPERLINK("https://twitter.com/JJBH62/status/1071059811419258880","1071059811419258880")</f>
        <v>1071059811419258880</v>
      </c>
      <c r="F1159" s="11"/>
      <c r="G1159" s="12" t="s">
        <v>2318</v>
      </c>
      <c r="H1159" s="11"/>
      <c r="I1159" s="13">
        <v>0</v>
      </c>
      <c r="J1159" s="13">
        <v>0</v>
      </c>
      <c r="K1159" s="14" t="str">
        <f t="shared" ref="K1159:K1160" si="210">HYPERLINK("http://twitter.com/download/android","Twitter for Android")</f>
        <v>Twitter for Android</v>
      </c>
      <c r="L1159" s="13">
        <v>306</v>
      </c>
      <c r="M1159" s="13">
        <v>238</v>
      </c>
      <c r="N1159" s="13">
        <v>7</v>
      </c>
      <c r="O1159" s="15"/>
      <c r="P1159" s="6">
        <v>40576.092187499999</v>
      </c>
      <c r="Q1159" s="18" t="s">
        <v>2322</v>
      </c>
      <c r="R1159" s="19" t="s">
        <v>2324</v>
      </c>
      <c r="S1159" s="12" t="s">
        <v>2325</v>
      </c>
      <c r="T1159" s="11"/>
      <c r="U1159" s="10" t="str">
        <f>HYPERLINK("https://pbs.twimg.com/profile_images/972996889732878338/uHeq1jAw.jpg","View")</f>
        <v>View</v>
      </c>
    </row>
    <row r="1160" spans="1:21" ht="51">
      <c r="A1160" s="6">
        <v>43441.675046296295</v>
      </c>
      <c r="B1160" s="7" t="str">
        <f>HYPERLINK("https://twitter.com/pjandreu","@pjandreu")</f>
        <v>@pjandreu</v>
      </c>
      <c r="C1160" s="8" t="s">
        <v>5466</v>
      </c>
      <c r="D1160" s="9" t="s">
        <v>5467</v>
      </c>
      <c r="E1160" s="10" t="str">
        <f>HYPERLINK("https://twitter.com/pjandreu/status/1071059776761671680","1071059776761671680")</f>
        <v>1071059776761671680</v>
      </c>
      <c r="F1160" s="11"/>
      <c r="G1160" s="11"/>
      <c r="H1160" s="11"/>
      <c r="I1160" s="13">
        <v>0</v>
      </c>
      <c r="J1160" s="13">
        <v>0</v>
      </c>
      <c r="K1160" s="14" t="str">
        <f t="shared" si="210"/>
        <v>Twitter for Android</v>
      </c>
      <c r="L1160" s="13">
        <v>576</v>
      </c>
      <c r="M1160" s="13">
        <v>858</v>
      </c>
      <c r="N1160" s="13">
        <v>4</v>
      </c>
      <c r="O1160" s="15"/>
      <c r="P1160" s="6">
        <v>40959.918020833335</v>
      </c>
      <c r="Q1160" s="18" t="s">
        <v>5468</v>
      </c>
      <c r="R1160" s="19" t="s">
        <v>5469</v>
      </c>
      <c r="S1160" s="11"/>
      <c r="T1160" s="11"/>
      <c r="U1160" s="10" t="str">
        <f>HYPERLINK("https://pbs.twimg.com/profile_images/1054759531778056193/QOUgWCAy.jpg","View")</f>
        <v>View</v>
      </c>
    </row>
    <row r="1161" spans="1:21" ht="30.6">
      <c r="A1161" s="6">
        <v>43441.673333333332</v>
      </c>
      <c r="B1161" s="7" t="str">
        <f>HYPERLINK("https://twitter.com/martinvr611","@martinvr611")</f>
        <v>@martinvr611</v>
      </c>
      <c r="C1161" s="8" t="s">
        <v>5470</v>
      </c>
      <c r="D1161" s="9" t="s">
        <v>5471</v>
      </c>
      <c r="E1161" s="10" t="str">
        <f>HYPERLINK("https://twitter.com/martinvr611/status/1071059153236434944","1071059153236434944")</f>
        <v>1071059153236434944</v>
      </c>
      <c r="F1161" s="11"/>
      <c r="G1161" s="11"/>
      <c r="H1161" s="11"/>
      <c r="I1161" s="13">
        <v>0</v>
      </c>
      <c r="J1161" s="13">
        <v>0</v>
      </c>
      <c r="K1161" s="14" t="str">
        <f>HYPERLINK("http://twitter.com/download/iphone","Twitter for iPhone")</f>
        <v>Twitter for iPhone</v>
      </c>
      <c r="L1161" s="13">
        <v>128</v>
      </c>
      <c r="M1161" s="13">
        <v>65</v>
      </c>
      <c r="N1161" s="13">
        <v>2</v>
      </c>
      <c r="O1161" s="15"/>
      <c r="P1161" s="6">
        <v>41949.802071759259</v>
      </c>
      <c r="Q1161" s="18" t="s">
        <v>42</v>
      </c>
      <c r="R1161" s="19" t="s">
        <v>5472</v>
      </c>
      <c r="S1161" s="11"/>
      <c r="T1161" s="11"/>
      <c r="U1161" s="10" t="str">
        <f>HYPERLINK("https://pbs.twimg.com/profile_images/1014497551079428097/WSlWhAXp.jpg","View")</f>
        <v>View</v>
      </c>
    </row>
    <row r="1162" spans="1:21" ht="81.599999999999994">
      <c r="A1162" s="6">
        <v>43441.673136574071</v>
      </c>
      <c r="B1162" s="7" t="str">
        <f>HYPERLINK("https://twitter.com/saulbermudezc","@saulbermudezc")</f>
        <v>@saulbermudezc</v>
      </c>
      <c r="C1162" s="8" t="s">
        <v>5473</v>
      </c>
      <c r="D1162" s="9" t="s">
        <v>5474</v>
      </c>
      <c r="E1162" s="10" t="str">
        <f>HYPERLINK("https://twitter.com/saulbermudezc/status/1071059082902192129","1071059082902192129")</f>
        <v>1071059082902192129</v>
      </c>
      <c r="F1162" s="12" t="s">
        <v>5475</v>
      </c>
      <c r="G1162" s="11"/>
      <c r="H1162" s="11"/>
      <c r="I1162" s="13">
        <v>0</v>
      </c>
      <c r="J1162" s="13">
        <v>0</v>
      </c>
      <c r="K1162" s="14" t="str">
        <f t="shared" ref="K1162:K1163" si="211">HYPERLINK("http://twitter.com/download/android","Twitter for Android")</f>
        <v>Twitter for Android</v>
      </c>
      <c r="L1162" s="13">
        <v>1683</v>
      </c>
      <c r="M1162" s="13">
        <v>1672</v>
      </c>
      <c r="N1162" s="13">
        <v>5</v>
      </c>
      <c r="O1162" s="15"/>
      <c r="P1162" s="6">
        <v>41984.143391203703</v>
      </c>
      <c r="Q1162" s="11"/>
      <c r="R1162" s="19" t="s">
        <v>5476</v>
      </c>
      <c r="S1162" s="11"/>
      <c r="T1162" s="11"/>
      <c r="U1162" s="10" t="str">
        <f>HYPERLINK("https://pbs.twimg.com/profile_images/952356015940558848/0_4SIFft.jpg","View")</f>
        <v>View</v>
      </c>
    </row>
    <row r="1163" spans="1:21" ht="71.400000000000006">
      <c r="A1163" s="6">
        <v>43441.671759259261</v>
      </c>
      <c r="B1163" s="7" t="str">
        <f>HYPERLINK("https://twitter.com/anamal65","@anamal65")</f>
        <v>@anamal65</v>
      </c>
      <c r="C1163" s="8" t="s">
        <v>5477</v>
      </c>
      <c r="D1163" s="9" t="s">
        <v>5478</v>
      </c>
      <c r="E1163" s="10" t="str">
        <f>HYPERLINK("https://twitter.com/anamal65/status/1071058586409820162","1071058586409820162")</f>
        <v>1071058586409820162</v>
      </c>
      <c r="F1163" s="12" t="s">
        <v>5479</v>
      </c>
      <c r="G1163" s="11"/>
      <c r="H1163" s="11"/>
      <c r="I1163" s="13">
        <v>0</v>
      </c>
      <c r="J1163" s="13">
        <v>1</v>
      </c>
      <c r="K1163" s="14" t="str">
        <f t="shared" si="211"/>
        <v>Twitter for Android</v>
      </c>
      <c r="L1163" s="13">
        <v>261</v>
      </c>
      <c r="M1163" s="13">
        <v>131</v>
      </c>
      <c r="N1163" s="13">
        <v>14</v>
      </c>
      <c r="O1163" s="15"/>
      <c r="P1163" s="6">
        <v>41743.61478009259</v>
      </c>
      <c r="Q1163" s="18" t="s">
        <v>260</v>
      </c>
      <c r="R1163" s="19" t="s">
        <v>5480</v>
      </c>
      <c r="S1163" s="11"/>
      <c r="T1163" s="11"/>
      <c r="U1163" s="10" t="str">
        <f>HYPERLINK("https://pbs.twimg.com/profile_images/1027002728076271617/QWSUKmoX.jpg","View")</f>
        <v>View</v>
      </c>
    </row>
    <row r="1164" spans="1:21" ht="40.799999999999997">
      <c r="A1164" s="6">
        <v>43441.669953703706</v>
      </c>
      <c r="B1164" s="7" t="str">
        <f>HYPERLINK("https://twitter.com/jemahuja","@jemahuja")</f>
        <v>@jemahuja</v>
      </c>
      <c r="C1164" s="8" t="s">
        <v>2327</v>
      </c>
      <c r="D1164" s="9" t="s">
        <v>1718</v>
      </c>
      <c r="E1164" s="10" t="str">
        <f>HYPERLINK("https://twitter.com/jemahuja/status/1071057931037302790","1071057931037302790")</f>
        <v>1071057931037302790</v>
      </c>
      <c r="F1164" s="12" t="s">
        <v>2328</v>
      </c>
      <c r="G1164" s="11"/>
      <c r="H1164" s="11"/>
      <c r="I1164" s="13">
        <v>5</v>
      </c>
      <c r="J1164" s="13">
        <v>3</v>
      </c>
      <c r="K1164" s="14" t="str">
        <f>HYPERLINK("http://www.facebook.com/twitter","Facebook")</f>
        <v>Facebook</v>
      </c>
      <c r="L1164" s="13">
        <v>4865</v>
      </c>
      <c r="M1164" s="13">
        <v>5077</v>
      </c>
      <c r="N1164" s="13">
        <v>69</v>
      </c>
      <c r="O1164" s="15"/>
      <c r="P1164" s="6">
        <v>40624.647256944445</v>
      </c>
      <c r="Q1164" s="11"/>
      <c r="R1164" s="19" t="s">
        <v>2329</v>
      </c>
      <c r="S1164" s="12" t="s">
        <v>2330</v>
      </c>
      <c r="T1164" s="11"/>
      <c r="U1164" s="10" t="str">
        <f>HYPERLINK("https://pbs.twimg.com/profile_images/979014863442907137/Qus9jozf.jpg","View")</f>
        <v>View</v>
      </c>
    </row>
    <row r="1165" spans="1:21" ht="51">
      <c r="A1165" s="6">
        <v>43441.669062500005</v>
      </c>
      <c r="B1165" s="7" t="str">
        <f>HYPERLINK("https://twitter.com/Jmanud","@Jmanud")</f>
        <v>@Jmanud</v>
      </c>
      <c r="C1165" s="8" t="s">
        <v>2331</v>
      </c>
      <c r="D1165" s="9" t="s">
        <v>2332</v>
      </c>
      <c r="E1165" s="10" t="str">
        <f>HYPERLINK("https://twitter.com/Jmanud/status/1071057606427459584","1071057606427459584")</f>
        <v>1071057606427459584</v>
      </c>
      <c r="F1165" s="11"/>
      <c r="G1165" s="12" t="s">
        <v>2334</v>
      </c>
      <c r="H1165" s="11"/>
      <c r="I1165" s="13">
        <v>125</v>
      </c>
      <c r="J1165" s="13">
        <v>113</v>
      </c>
      <c r="K1165" s="14" t="str">
        <f>HYPERLINK("http://twitter.com/download/iphone","Twitter for iPhone")</f>
        <v>Twitter for iPhone</v>
      </c>
      <c r="L1165" s="13">
        <v>2611</v>
      </c>
      <c r="M1165" s="13">
        <v>245</v>
      </c>
      <c r="N1165" s="13">
        <v>19</v>
      </c>
      <c r="O1165" s="15"/>
      <c r="P1165" s="6">
        <v>40757.556469907409</v>
      </c>
      <c r="Q1165" s="18" t="s">
        <v>260</v>
      </c>
      <c r="R1165" s="19" t="s">
        <v>2337</v>
      </c>
      <c r="S1165" s="11"/>
      <c r="T1165" s="11"/>
      <c r="U1165" s="10" t="str">
        <f>HYPERLINK("https://pbs.twimg.com/profile_images/931676655998947329/rsRdADto.jpg","View")</f>
        <v>View</v>
      </c>
    </row>
    <row r="1166" spans="1:21" ht="13.2">
      <c r="A1166" s="6">
        <v>43441.668333333335</v>
      </c>
      <c r="B1166" s="7" t="str">
        <f>HYPERLINK("https://twitter.com/nofreferrer","@nofreferrer")</f>
        <v>@nofreferrer</v>
      </c>
      <c r="C1166" s="8" t="s">
        <v>5481</v>
      </c>
      <c r="D1166" s="9" t="s">
        <v>5482</v>
      </c>
      <c r="E1166" s="10" t="str">
        <f>HYPERLINK("https://twitter.com/nofreferrer/status/1071057341976637440","1071057341976637440")</f>
        <v>1071057341976637440</v>
      </c>
      <c r="F1166" s="12" t="s">
        <v>5483</v>
      </c>
      <c r="G1166" s="11"/>
      <c r="H1166" s="11"/>
      <c r="I1166" s="13">
        <v>0</v>
      </c>
      <c r="J1166" s="13">
        <v>0</v>
      </c>
      <c r="K1166" s="14" t="str">
        <f>HYPERLINK("http://www.facebook.com/twitter","Facebook")</f>
        <v>Facebook</v>
      </c>
      <c r="L1166" s="13">
        <v>431</v>
      </c>
      <c r="M1166" s="13">
        <v>216</v>
      </c>
      <c r="N1166" s="13">
        <v>5</v>
      </c>
      <c r="O1166" s="15"/>
      <c r="P1166" s="6">
        <v>41023.448657407411</v>
      </c>
      <c r="Q1166" s="11"/>
      <c r="R1166" s="19" t="s">
        <v>5484</v>
      </c>
      <c r="S1166" s="11"/>
      <c r="T1166" s="11"/>
      <c r="U1166" s="10" t="str">
        <f>HYPERLINK("https://pbs.twimg.com/profile_images/739445086686171136/NYvCL44k.jpg","View")</f>
        <v>View</v>
      </c>
    </row>
    <row r="1167" spans="1:21" ht="40.799999999999997">
      <c r="A1167" s="6">
        <v>43441.668298611112</v>
      </c>
      <c r="B1167" s="7" t="str">
        <f>HYPERLINK("https://twitter.com/isabelbargallo1","@isabelbargallo1")</f>
        <v>@isabelbargallo1</v>
      </c>
      <c r="C1167" s="8" t="s">
        <v>5485</v>
      </c>
      <c r="D1167" s="9" t="s">
        <v>5486</v>
      </c>
      <c r="E1167" s="10" t="str">
        <f>HYPERLINK("https://twitter.com/isabelbargallo1/status/1071057330161287173","1071057330161287173")</f>
        <v>1071057330161287173</v>
      </c>
      <c r="F1167" s="11"/>
      <c r="G1167" s="11"/>
      <c r="H1167" s="11"/>
      <c r="I1167" s="13">
        <v>6</v>
      </c>
      <c r="J1167" s="13">
        <v>8</v>
      </c>
      <c r="K1167" s="14" t="str">
        <f>HYPERLINK("http://twitter.com/download/iphone","Twitter for iPhone")</f>
        <v>Twitter for iPhone</v>
      </c>
      <c r="L1167" s="13">
        <v>1886</v>
      </c>
      <c r="M1167" s="13">
        <v>1370</v>
      </c>
      <c r="N1167" s="13">
        <v>14</v>
      </c>
      <c r="O1167" s="15"/>
      <c r="P1167" s="6">
        <v>41945.91920138889</v>
      </c>
      <c r="Q1167" s="18" t="s">
        <v>5487</v>
      </c>
      <c r="R1167" s="19" t="s">
        <v>5488</v>
      </c>
      <c r="S1167" s="11"/>
      <c r="T1167" s="11"/>
      <c r="U1167" s="10" t="str">
        <f>HYPERLINK("https://pbs.twimg.com/profile_images/939226943043592198/nerFj_41.jpg","View")</f>
        <v>View</v>
      </c>
    </row>
    <row r="1168" spans="1:21" ht="40.799999999999997">
      <c r="A1168" s="6">
        <v>43441.66805555555</v>
      </c>
      <c r="B1168" s="7" t="str">
        <f>HYPERLINK("https://twitter.com/bitMomentum","@bitMomentum")</f>
        <v>@bitMomentum</v>
      </c>
      <c r="C1168" s="8" t="s">
        <v>28</v>
      </c>
      <c r="D1168" s="9" t="s">
        <v>2338</v>
      </c>
      <c r="E1168" s="10" t="str">
        <f>HYPERLINK("https://twitter.com/bitMomentum/status/1071057240952635392","1071057240952635392")</f>
        <v>1071057240952635392</v>
      </c>
      <c r="F1168" s="11"/>
      <c r="G1168" s="11"/>
      <c r="H1168" s="11"/>
      <c r="I1168" s="13">
        <v>0</v>
      </c>
      <c r="J1168" s="13">
        <v>0</v>
      </c>
      <c r="K1168" s="14" t="str">
        <f>HYPERLINK("http://www.bitmomentum.com","bitMomentum Bot")</f>
        <v>bitMomentum Bot</v>
      </c>
      <c r="L1168" s="13">
        <v>10254</v>
      </c>
      <c r="M1168" s="13">
        <v>1059</v>
      </c>
      <c r="N1168" s="13">
        <v>263</v>
      </c>
      <c r="O1168" s="15"/>
      <c r="P1168" s="6">
        <v>41608.667511574073</v>
      </c>
      <c r="Q1168" s="11"/>
      <c r="R1168" s="19" t="s">
        <v>30</v>
      </c>
      <c r="S1168" s="12" t="s">
        <v>31</v>
      </c>
      <c r="T1168" s="11"/>
      <c r="U1168" s="10" t="str">
        <f>HYPERLINK("https://pbs.twimg.com/profile_images/378800000862185241/20ij2H3u.png","View")</f>
        <v>View</v>
      </c>
    </row>
    <row r="1169" spans="1:21" ht="40.799999999999997">
      <c r="A1169" s="6">
        <v>43441.667847222227</v>
      </c>
      <c r="B1169" s="7" t="str">
        <f>HYPERLINK("https://twitter.com/Endesenfilada","@Endesenfilada")</f>
        <v>@Endesenfilada</v>
      </c>
      <c r="C1169" s="8" t="s">
        <v>2341</v>
      </c>
      <c r="D1169" s="9" t="s">
        <v>2343</v>
      </c>
      <c r="E1169" s="10" t="str">
        <f>HYPERLINK("https://twitter.com/Endesenfilada/status/1071057165803315200","1071057165803315200")</f>
        <v>1071057165803315200</v>
      </c>
      <c r="F1169" s="12" t="s">
        <v>2344</v>
      </c>
      <c r="G1169" s="11"/>
      <c r="H1169" s="11"/>
      <c r="I1169" s="13">
        <v>0</v>
      </c>
      <c r="J1169" s="13">
        <v>1</v>
      </c>
      <c r="K1169" s="14" t="str">
        <f>HYPERLINK("http://twitter.com/download/android","Twitter for Android")</f>
        <v>Twitter for Android</v>
      </c>
      <c r="L1169" s="13">
        <v>30</v>
      </c>
      <c r="M1169" s="13">
        <v>91</v>
      </c>
      <c r="N1169" s="13">
        <v>0</v>
      </c>
      <c r="O1169" s="15"/>
      <c r="P1169" s="6">
        <v>40831.952569444446</v>
      </c>
      <c r="Q1169" s="11"/>
      <c r="R1169" s="17"/>
      <c r="S1169" s="11"/>
      <c r="T1169" s="11"/>
      <c r="U1169" s="10" t="str">
        <f>HYPERLINK("https://pbs.twimg.com/profile_images/779835114343858180/H8TjDRI8.jpg","View")</f>
        <v>View</v>
      </c>
    </row>
    <row r="1170" spans="1:21" ht="51">
      <c r="A1170" s="6">
        <v>43441.667488425926</v>
      </c>
      <c r="B1170" s="7" t="str">
        <f>HYPERLINK("https://twitter.com/Cambio16","@Cambio16")</f>
        <v>@Cambio16</v>
      </c>
      <c r="C1170" s="8" t="s">
        <v>5489</v>
      </c>
      <c r="D1170" s="9" t="s">
        <v>5490</v>
      </c>
      <c r="E1170" s="10" t="str">
        <f>HYPERLINK("https://twitter.com/Cambio16/status/1071057037809905665","1071057037809905665")</f>
        <v>1071057037809905665</v>
      </c>
      <c r="F1170" s="12" t="s">
        <v>5491</v>
      </c>
      <c r="G1170" s="12" t="s">
        <v>5492</v>
      </c>
      <c r="H1170" s="11"/>
      <c r="I1170" s="13">
        <v>1</v>
      </c>
      <c r="J1170" s="13">
        <v>0</v>
      </c>
      <c r="K1170" s="14" t="str">
        <f>HYPERLINK("https://www.hootsuite.com","Hootsuite Inc.")</f>
        <v>Hootsuite Inc.</v>
      </c>
      <c r="L1170" s="13">
        <v>17336</v>
      </c>
      <c r="M1170" s="13">
        <v>1007</v>
      </c>
      <c r="N1170" s="13">
        <v>502</v>
      </c>
      <c r="O1170" s="15"/>
      <c r="P1170" s="6">
        <v>40341.492245370369</v>
      </c>
      <c r="Q1170" s="18" t="s">
        <v>173</v>
      </c>
      <c r="R1170" s="19" t="s">
        <v>5493</v>
      </c>
      <c r="S1170" s="12" t="s">
        <v>5494</v>
      </c>
      <c r="T1170" s="11"/>
      <c r="U1170" s="10" t="str">
        <f>HYPERLINK("https://pbs.twimg.com/profile_images/1060221846208069632/vJfJ3_T5.jpg","View")</f>
        <v>View</v>
      </c>
    </row>
    <row r="1171" spans="1:21" ht="51">
      <c r="A1171" s="6">
        <v>43441.667442129634</v>
      </c>
      <c r="B1171" s="7" t="str">
        <f>HYPERLINK("https://twitter.com/vicentegomez77","@vicentegomez77")</f>
        <v>@vicentegomez77</v>
      </c>
      <c r="C1171" s="8" t="s">
        <v>5495</v>
      </c>
      <c r="D1171" s="9" t="s">
        <v>5496</v>
      </c>
      <c r="E1171" s="10" t="str">
        <f>HYPERLINK("https://twitter.com/vicentegomez77/status/1071057019463983104","1071057019463983104")</f>
        <v>1071057019463983104</v>
      </c>
      <c r="F1171" s="12" t="s">
        <v>2187</v>
      </c>
      <c r="G1171" s="11"/>
      <c r="H1171" s="11"/>
      <c r="I1171" s="13">
        <v>10</v>
      </c>
      <c r="J1171" s="13">
        <v>8</v>
      </c>
      <c r="K1171" s="14" t="str">
        <f>HYPERLINK("http://twitter.com/download/android","Twitter for Android")</f>
        <v>Twitter for Android</v>
      </c>
      <c r="L1171" s="13">
        <v>617</v>
      </c>
      <c r="M1171" s="13">
        <v>933</v>
      </c>
      <c r="N1171" s="13">
        <v>7</v>
      </c>
      <c r="O1171" s="15"/>
      <c r="P1171" s="6">
        <v>42005.92454861111</v>
      </c>
      <c r="Q1171" s="18" t="s">
        <v>5497</v>
      </c>
      <c r="R1171" s="19" t="s">
        <v>5498</v>
      </c>
      <c r="S1171" s="11"/>
      <c r="T1171" s="11"/>
      <c r="U1171" s="10" t="str">
        <f>HYPERLINK("https://pbs.twimg.com/profile_images/1017169979698016256/ZiViA2Ue.jpg","View")</f>
        <v>View</v>
      </c>
    </row>
    <row r="1172" spans="1:21" ht="30.6">
      <c r="A1172" s="6">
        <v>43441.667048611111</v>
      </c>
      <c r="B1172" s="7" t="str">
        <f>HYPERLINK("https://twitter.com/debate_es","@debate_es")</f>
        <v>@debate_es</v>
      </c>
      <c r="C1172" s="22" t="s">
        <v>1865</v>
      </c>
      <c r="D1172" s="9" t="s">
        <v>4517</v>
      </c>
      <c r="E1172" s="10" t="str">
        <f>HYPERLINK("https://twitter.com/debate_es/status/1071056877830713346","1071056877830713346")</f>
        <v>1071056877830713346</v>
      </c>
      <c r="F1172" s="12" t="s">
        <v>1955</v>
      </c>
      <c r="G1172" s="11"/>
      <c r="H1172" s="11"/>
      <c r="I1172" s="13">
        <v>1</v>
      </c>
      <c r="J1172" s="13">
        <v>1</v>
      </c>
      <c r="K1172" s="14" t="str">
        <f>HYPERLINK("https://www.hootsuite.com","Hootsuite Inc.")</f>
        <v>Hootsuite Inc.</v>
      </c>
      <c r="L1172" s="13">
        <v>1990</v>
      </c>
      <c r="M1172" s="13">
        <v>0</v>
      </c>
      <c r="N1172" s="13">
        <v>26</v>
      </c>
      <c r="O1172" s="15"/>
      <c r="P1172" s="6">
        <v>43258.540625000001</v>
      </c>
      <c r="Q1172" s="11"/>
      <c r="R1172" s="19" t="s">
        <v>1871</v>
      </c>
      <c r="S1172" s="12" t="s">
        <v>1872</v>
      </c>
      <c r="T1172" s="11"/>
      <c r="U1172" s="10" t="str">
        <f>HYPERLINK("https://pbs.twimg.com/profile_images/1022497434029699073/kza_Om7G.jpg","View")</f>
        <v>View</v>
      </c>
    </row>
    <row r="1173" spans="1:21" ht="51">
      <c r="A1173" s="6">
        <v>43441.666979166665</v>
      </c>
      <c r="B1173" s="7" t="str">
        <f>HYPERLINK("https://twitter.com/zapeandola6","@zapeandola6")</f>
        <v>@zapeandola6</v>
      </c>
      <c r="C1173" s="8" t="s">
        <v>5499</v>
      </c>
      <c r="D1173" s="9" t="s">
        <v>5500</v>
      </c>
      <c r="E1173" s="10" t="str">
        <f>HYPERLINK("https://twitter.com/zapeandola6/status/1071056853713473537","1071056853713473537")</f>
        <v>1071056853713473537</v>
      </c>
      <c r="F1173" s="11"/>
      <c r="G1173" s="12" t="s">
        <v>5501</v>
      </c>
      <c r="H1173" s="11"/>
      <c r="I1173" s="13">
        <v>0</v>
      </c>
      <c r="J1173" s="13">
        <v>25</v>
      </c>
      <c r="K1173" s="14" t="str">
        <f>HYPERLINK("http://twitter.com","Twitter Web Client")</f>
        <v>Twitter Web Client</v>
      </c>
      <c r="L1173" s="13">
        <v>429306</v>
      </c>
      <c r="M1173" s="13">
        <v>140</v>
      </c>
      <c r="N1173" s="13">
        <v>531</v>
      </c>
      <c r="O1173" s="16" t="s">
        <v>25</v>
      </c>
      <c r="P1173" s="6">
        <v>41568.654062499998</v>
      </c>
      <c r="Q1173" s="18" t="s">
        <v>42</v>
      </c>
      <c r="R1173" s="19" t="s">
        <v>5502</v>
      </c>
      <c r="S1173" s="12" t="s">
        <v>5503</v>
      </c>
      <c r="T1173" s="11"/>
      <c r="U1173" s="10" t="str">
        <f>HYPERLINK("https://pbs.twimg.com/profile_images/1065982377246302211/78nlvdID.jpg","View")</f>
        <v>View</v>
      </c>
    </row>
    <row r="1174" spans="1:21" ht="81.599999999999994">
      <c r="A1174" s="6">
        <v>43441.666967592595</v>
      </c>
      <c r="B1174" s="7" t="str">
        <f>HYPERLINK("https://twitter.com/atonitoperdido","@atonitoperdido")</f>
        <v>@atonitoperdido</v>
      </c>
      <c r="C1174" s="8" t="s">
        <v>2345</v>
      </c>
      <c r="D1174" s="9" t="s">
        <v>2346</v>
      </c>
      <c r="E1174" s="10" t="str">
        <f>HYPERLINK("https://twitter.com/atonitoperdido/status/1071056847308816384","1071056847308816384")</f>
        <v>1071056847308816384</v>
      </c>
      <c r="F1174" s="18" t="s">
        <v>1877</v>
      </c>
      <c r="G1174" s="11"/>
      <c r="H1174" s="11"/>
      <c r="I1174" s="13">
        <v>3</v>
      </c>
      <c r="J1174" s="13">
        <v>6</v>
      </c>
      <c r="K1174" s="14" t="str">
        <f t="shared" ref="K1174:K1177" si="212">HYPERLINK("http://twitter.com/download/android","Twitter for Android")</f>
        <v>Twitter for Android</v>
      </c>
      <c r="L1174" s="13">
        <v>539</v>
      </c>
      <c r="M1174" s="13">
        <v>634</v>
      </c>
      <c r="N1174" s="13">
        <v>3</v>
      </c>
      <c r="O1174" s="15"/>
      <c r="P1174" s="6">
        <v>43075.721828703703</v>
      </c>
      <c r="Q1174" s="18" t="s">
        <v>2347</v>
      </c>
      <c r="R1174" s="19" t="s">
        <v>2348</v>
      </c>
      <c r="S1174" s="11"/>
      <c r="T1174" s="11"/>
      <c r="U1174" s="10" t="str">
        <f>HYPERLINK("https://pbs.twimg.com/profile_images/972105008564068352/-4h4dl3d.jpg","View")</f>
        <v>View</v>
      </c>
    </row>
    <row r="1175" spans="1:21" ht="40.799999999999997">
      <c r="A1175" s="6">
        <v>43441.664826388893</v>
      </c>
      <c r="B1175" s="7" t="str">
        <f>HYPERLINK("https://twitter.com/LisRSalander","@LisRSalander")</f>
        <v>@LisRSalander</v>
      </c>
      <c r="C1175" s="8" t="s">
        <v>2349</v>
      </c>
      <c r="D1175" s="9" t="s">
        <v>2350</v>
      </c>
      <c r="E1175" s="10" t="str">
        <f>HYPERLINK("https://twitter.com/LisRSalander/status/1071056070162948097","1071056070162948097")</f>
        <v>1071056070162948097</v>
      </c>
      <c r="F1175" s="11"/>
      <c r="G1175" s="12" t="s">
        <v>2352</v>
      </c>
      <c r="H1175" s="11"/>
      <c r="I1175" s="13">
        <v>2</v>
      </c>
      <c r="J1175" s="13">
        <v>4</v>
      </c>
      <c r="K1175" s="14" t="str">
        <f t="shared" si="212"/>
        <v>Twitter for Android</v>
      </c>
      <c r="L1175" s="13">
        <v>730</v>
      </c>
      <c r="M1175" s="13">
        <v>1341</v>
      </c>
      <c r="N1175" s="13">
        <v>3</v>
      </c>
      <c r="O1175" s="15"/>
      <c r="P1175" s="6">
        <v>42969.836493055554</v>
      </c>
      <c r="Q1175" s="18" t="s">
        <v>2353</v>
      </c>
      <c r="R1175" s="19" t="s">
        <v>2354</v>
      </c>
      <c r="S1175" s="11"/>
      <c r="T1175" s="11"/>
      <c r="U1175" s="10" t="str">
        <f>HYPERLINK("https://pbs.twimg.com/profile_images/1046357979803656193/6SImv_tY.jpg","View")</f>
        <v>View</v>
      </c>
    </row>
    <row r="1176" spans="1:21" ht="51">
      <c r="A1176" s="6">
        <v>43441.663680555561</v>
      </c>
      <c r="B1176" s="7" t="str">
        <f>HYPERLINK("https://twitter.com/AlbertoRuizLH","@AlbertoRuizLH")</f>
        <v>@AlbertoRuizLH</v>
      </c>
      <c r="C1176" s="8" t="s">
        <v>2356</v>
      </c>
      <c r="D1176" s="9" t="s">
        <v>2357</v>
      </c>
      <c r="E1176" s="10" t="str">
        <f>HYPERLINK("https://twitter.com/AlbertoRuizLH/status/1071055655488905218","1071055655488905218")</f>
        <v>1071055655488905218</v>
      </c>
      <c r="F1176" s="12" t="s">
        <v>2358</v>
      </c>
      <c r="G1176" s="11"/>
      <c r="H1176" s="11"/>
      <c r="I1176" s="13">
        <v>1</v>
      </c>
      <c r="J1176" s="13">
        <v>1</v>
      </c>
      <c r="K1176" s="14" t="str">
        <f t="shared" si="212"/>
        <v>Twitter for Android</v>
      </c>
      <c r="L1176" s="13">
        <v>975</v>
      </c>
      <c r="M1176" s="13">
        <v>1628</v>
      </c>
      <c r="N1176" s="13">
        <v>12</v>
      </c>
      <c r="O1176" s="15"/>
      <c r="P1176" s="6">
        <v>42548.867743055554</v>
      </c>
      <c r="Q1176" s="18" t="s">
        <v>2360</v>
      </c>
      <c r="R1176" s="19" t="s">
        <v>2361</v>
      </c>
      <c r="S1176" s="11"/>
      <c r="T1176" s="11"/>
      <c r="U1176" s="10" t="str">
        <f>HYPERLINK("https://pbs.twimg.com/profile_images/1051539095401455616/sVBwonkb.jpg","View")</f>
        <v>View</v>
      </c>
    </row>
    <row r="1177" spans="1:21" ht="51">
      <c r="A1177" s="6">
        <v>43441.663182870368</v>
      </c>
      <c r="B1177" s="7" t="str">
        <f>HYPERLINK("https://twitter.com/ElTorniquete","@ElTorniquete")</f>
        <v>@ElTorniquete</v>
      </c>
      <c r="C1177" s="8" t="s">
        <v>5504</v>
      </c>
      <c r="D1177" s="9" t="s">
        <v>5505</v>
      </c>
      <c r="E1177" s="10" t="str">
        <f>HYPERLINK("https://twitter.com/ElTorniquete/status/1071055475670745089","1071055475670745089")</f>
        <v>1071055475670745089</v>
      </c>
      <c r="F1177" s="11"/>
      <c r="G1177" s="11"/>
      <c r="H1177" s="11"/>
      <c r="I1177" s="13">
        <v>1</v>
      </c>
      <c r="J1177" s="13">
        <v>1</v>
      </c>
      <c r="K1177" s="14" t="str">
        <f t="shared" si="212"/>
        <v>Twitter for Android</v>
      </c>
      <c r="L1177" s="13">
        <v>75</v>
      </c>
      <c r="M1177" s="13">
        <v>212</v>
      </c>
      <c r="N1177" s="13">
        <v>1</v>
      </c>
      <c r="O1177" s="15"/>
      <c r="P1177" s="6">
        <v>42748.756111111114</v>
      </c>
      <c r="Q1177" s="11"/>
      <c r="R1177" s="19" t="s">
        <v>5506</v>
      </c>
      <c r="S1177" s="11"/>
      <c r="T1177" s="11"/>
      <c r="U1177" s="10" t="str">
        <f>HYPERLINK("https://pbs.twimg.com/profile_images/980008087796043776/dfs8TJGH.jpg","View")</f>
        <v>View</v>
      </c>
    </row>
    <row r="1178" spans="1:21" ht="30.6">
      <c r="A1178" s="6">
        <v>43441.663078703699</v>
      </c>
      <c r="B1178" s="7" t="str">
        <f>HYPERLINK("https://twitter.com/natipcu","@natipcu")</f>
        <v>@natipcu</v>
      </c>
      <c r="C1178" s="8" t="s">
        <v>5507</v>
      </c>
      <c r="D1178" s="9" t="s">
        <v>5508</v>
      </c>
      <c r="E1178" s="10" t="str">
        <f>HYPERLINK("https://twitter.com/natipcu/status/1071055436768530432","1071055436768530432")</f>
        <v>1071055436768530432</v>
      </c>
      <c r="F1178" s="12" t="s">
        <v>5509</v>
      </c>
      <c r="G1178" s="11"/>
      <c r="H1178" s="11"/>
      <c r="I1178" s="13">
        <v>0</v>
      </c>
      <c r="J1178" s="13">
        <v>0</v>
      </c>
      <c r="K1178" s="14" t="str">
        <f>HYPERLINK("http://www.facebook.com/twitter","Facebook")</f>
        <v>Facebook</v>
      </c>
      <c r="L1178" s="13">
        <v>373</v>
      </c>
      <c r="M1178" s="13">
        <v>959</v>
      </c>
      <c r="N1178" s="13">
        <v>6</v>
      </c>
      <c r="O1178" s="15"/>
      <c r="P1178" s="6">
        <v>41011.381006944444</v>
      </c>
      <c r="Q1178" s="18" t="s">
        <v>5510</v>
      </c>
      <c r="R1178" s="19" t="s">
        <v>5511</v>
      </c>
      <c r="S1178" s="11"/>
      <c r="T1178" s="11"/>
      <c r="U1178" s="10" t="str">
        <f>HYPERLINK("https://pbs.twimg.com/profile_images/1040653426294759431/Hzpw4gD_.jpg","View")</f>
        <v>View</v>
      </c>
    </row>
    <row r="1179" spans="1:21" ht="81.599999999999994">
      <c r="A1179" s="6">
        <v>43441.662766203706</v>
      </c>
      <c r="B1179" s="7" t="str">
        <f>HYPERLINK("https://twitter.com/Julia75990331","@Julia75990331")</f>
        <v>@Julia75990331</v>
      </c>
      <c r="C1179" s="8" t="s">
        <v>1256</v>
      </c>
      <c r="D1179" s="9" t="s">
        <v>2362</v>
      </c>
      <c r="E1179" s="10" t="str">
        <f>HYPERLINK("https://twitter.com/Julia75990331/status/1071055326894538754","1071055326894538754")</f>
        <v>1071055326894538754</v>
      </c>
      <c r="F1179" s="12" t="s">
        <v>734</v>
      </c>
      <c r="G1179" s="12" t="s">
        <v>735</v>
      </c>
      <c r="H1179" s="11"/>
      <c r="I1179" s="13">
        <v>1</v>
      </c>
      <c r="J1179" s="13">
        <v>1</v>
      </c>
      <c r="K1179" s="14" t="str">
        <f t="shared" ref="K1179:K1181" si="213">HYPERLINK("http://twitter.com/download/android","Twitter for Android")</f>
        <v>Twitter for Android</v>
      </c>
      <c r="L1179" s="13">
        <v>695</v>
      </c>
      <c r="M1179" s="13">
        <v>960</v>
      </c>
      <c r="N1179" s="13">
        <v>0</v>
      </c>
      <c r="O1179" s="15"/>
      <c r="P1179" s="6">
        <v>43377.642314814817</v>
      </c>
      <c r="Q1179" s="11"/>
      <c r="R1179" s="19" t="s">
        <v>1259</v>
      </c>
      <c r="S1179" s="11"/>
      <c r="T1179" s="11"/>
      <c r="U1179" s="10" t="str">
        <f>HYPERLINK("https://pbs.twimg.com/profile_images/1051971899109113857/Lnj9d5gj.jpg","View")</f>
        <v>View</v>
      </c>
    </row>
    <row r="1180" spans="1:21" ht="51">
      <c r="A1180" s="6">
        <v>43441.662523148145</v>
      </c>
      <c r="B1180" s="7" t="str">
        <f>HYPERLINK("https://twitter.com/TeresAtrazos","@TeresAtrazos")</f>
        <v>@TeresAtrazos</v>
      </c>
      <c r="C1180" s="8" t="s">
        <v>3119</v>
      </c>
      <c r="D1180" s="9" t="s">
        <v>5512</v>
      </c>
      <c r="E1180" s="10" t="str">
        <f>HYPERLINK("https://twitter.com/TeresAtrazos/status/1071055238025625601","1071055238025625601")</f>
        <v>1071055238025625601</v>
      </c>
      <c r="F1180" s="12" t="s">
        <v>5513</v>
      </c>
      <c r="G1180" s="11"/>
      <c r="H1180" s="11"/>
      <c r="I1180" s="13">
        <v>0</v>
      </c>
      <c r="J1180" s="13">
        <v>0</v>
      </c>
      <c r="K1180" s="14" t="str">
        <f t="shared" si="213"/>
        <v>Twitter for Android</v>
      </c>
      <c r="L1180" s="13">
        <v>1568</v>
      </c>
      <c r="M1180" s="13">
        <v>1748</v>
      </c>
      <c r="N1180" s="13">
        <v>50</v>
      </c>
      <c r="O1180" s="15"/>
      <c r="P1180" s="6">
        <v>40922.926354166666</v>
      </c>
      <c r="Q1180" s="18" t="s">
        <v>3124</v>
      </c>
      <c r="R1180" s="19" t="s">
        <v>3125</v>
      </c>
      <c r="S1180" s="11"/>
      <c r="T1180" s="11"/>
      <c r="U1180" s="10" t="str">
        <f>HYPERLINK("https://pbs.twimg.com/profile_images/969042018692411393/-A6E1TVi.jpg","View")</f>
        <v>View</v>
      </c>
    </row>
    <row r="1181" spans="1:21" ht="61.2">
      <c r="A1181" s="6">
        <v>43441.662245370375</v>
      </c>
      <c r="B1181" s="7" t="str">
        <f>HYPERLINK("https://twitter.com/XityMoreno","@XityMoreno")</f>
        <v>@XityMoreno</v>
      </c>
      <c r="C1181" s="8" t="s">
        <v>5514</v>
      </c>
      <c r="D1181" s="9" t="s">
        <v>5515</v>
      </c>
      <c r="E1181" s="10" t="str">
        <f>HYPERLINK("https://twitter.com/XityMoreno/status/1071055136267612160","1071055136267612160")</f>
        <v>1071055136267612160</v>
      </c>
      <c r="F1181" s="12" t="s">
        <v>5516</v>
      </c>
      <c r="G1181" s="12" t="s">
        <v>5517</v>
      </c>
      <c r="H1181" s="11"/>
      <c r="I1181" s="13">
        <v>0</v>
      </c>
      <c r="J1181" s="13">
        <v>0</v>
      </c>
      <c r="K1181" s="14" t="str">
        <f t="shared" si="213"/>
        <v>Twitter for Android</v>
      </c>
      <c r="L1181" s="13">
        <v>713</v>
      </c>
      <c r="M1181" s="13">
        <v>708</v>
      </c>
      <c r="N1181" s="13">
        <v>2</v>
      </c>
      <c r="O1181" s="15"/>
      <c r="P1181" s="6">
        <v>40785.101099537038</v>
      </c>
      <c r="Q1181" s="11"/>
      <c r="R1181" s="19" t="s">
        <v>5518</v>
      </c>
      <c r="S1181" s="11"/>
      <c r="T1181" s="11"/>
      <c r="U1181" s="10" t="str">
        <f>HYPERLINK("https://pbs.twimg.com/profile_images/646606976479313920/8IFXwJ1Q.jpg","View")</f>
        <v>View</v>
      </c>
    </row>
    <row r="1182" spans="1:21" ht="102">
      <c r="A1182" s="6">
        <v>43441.661215277782</v>
      </c>
      <c r="B1182" s="7" t="str">
        <f>HYPERLINK("https://twitter.com/RafaelRuiz1957","@RafaelRuiz1957")</f>
        <v>@RafaelRuiz1957</v>
      </c>
      <c r="C1182" s="8" t="s">
        <v>5520</v>
      </c>
      <c r="D1182" s="9" t="s">
        <v>5521</v>
      </c>
      <c r="E1182" s="10" t="str">
        <f>HYPERLINK("https://twitter.com/RafaelRuiz1957/status/1071054764501291009","1071054764501291009")</f>
        <v>1071054764501291009</v>
      </c>
      <c r="F1182" s="12" t="s">
        <v>5522</v>
      </c>
      <c r="G1182" s="11"/>
      <c r="H1182" s="11"/>
      <c r="I1182" s="13">
        <v>4</v>
      </c>
      <c r="J1182" s="13">
        <v>4</v>
      </c>
      <c r="K1182" s="14" t="str">
        <f>HYPERLINK("http://twitter.com","Twitter Web Client")</f>
        <v>Twitter Web Client</v>
      </c>
      <c r="L1182" s="13">
        <v>12931</v>
      </c>
      <c r="M1182" s="13">
        <v>14175</v>
      </c>
      <c r="N1182" s="13">
        <v>67</v>
      </c>
      <c r="O1182" s="15"/>
      <c r="P1182" s="6">
        <v>42309.961446759262</v>
      </c>
      <c r="Q1182" s="18" t="s">
        <v>100</v>
      </c>
      <c r="R1182" s="19" t="s">
        <v>5523</v>
      </c>
      <c r="S1182" s="12" t="s">
        <v>5524</v>
      </c>
      <c r="T1182" s="11"/>
      <c r="U1182" s="10" t="str">
        <f>HYPERLINK("https://pbs.twimg.com/profile_images/678339876438282240/8EY5D3h1.jpg","View")</f>
        <v>View</v>
      </c>
    </row>
    <row r="1183" spans="1:21" ht="30.6">
      <c r="A1183" s="6">
        <v>43441.660856481481</v>
      </c>
      <c r="B1183" s="7" t="str">
        <f>HYPERLINK("https://twitter.com/angelmigeva","@angelmigeva")</f>
        <v>@angelmigeva</v>
      </c>
      <c r="C1183" s="8" t="s">
        <v>5525</v>
      </c>
      <c r="D1183" s="9" t="s">
        <v>5526</v>
      </c>
      <c r="E1183" s="10" t="str">
        <f>HYPERLINK("https://twitter.com/angelmigeva/status/1071054635329339393","1071054635329339393")</f>
        <v>1071054635329339393</v>
      </c>
      <c r="F1183" s="11"/>
      <c r="G1183" s="11"/>
      <c r="H1183" s="11"/>
      <c r="I1183" s="13">
        <v>0</v>
      </c>
      <c r="J1183" s="13">
        <v>1</v>
      </c>
      <c r="K1183" s="14" t="str">
        <f>HYPERLINK("http://twitter.com/download/android","Twitter for Android")</f>
        <v>Twitter for Android</v>
      </c>
      <c r="L1183" s="13">
        <v>11375</v>
      </c>
      <c r="M1183" s="13">
        <v>11014</v>
      </c>
      <c r="N1183" s="13">
        <v>75</v>
      </c>
      <c r="O1183" s="15"/>
      <c r="P1183" s="6">
        <v>40958.668703703705</v>
      </c>
      <c r="Q1183" s="18" t="s">
        <v>5527</v>
      </c>
      <c r="R1183" s="19" t="s">
        <v>5528</v>
      </c>
      <c r="S1183" s="12" t="s">
        <v>5529</v>
      </c>
      <c r="T1183" s="11"/>
      <c r="U1183" s="10" t="str">
        <f>HYPERLINK("https://pbs.twimg.com/profile_images/983425329015459841/j7p944uQ.jpg","View")</f>
        <v>View</v>
      </c>
    </row>
    <row r="1184" spans="1:21" ht="91.8">
      <c r="A1184" s="6">
        <v>43441.660231481481</v>
      </c>
      <c r="B1184" s="7" t="str">
        <f>HYPERLINK("https://twitter.com/Jes_Pacheco_Gal","@Jes_Pacheco_Gal")</f>
        <v>@Jes_Pacheco_Gal</v>
      </c>
      <c r="C1184" s="8" t="s">
        <v>2173</v>
      </c>
      <c r="D1184" s="9" t="s">
        <v>2365</v>
      </c>
      <c r="E1184" s="10" t="str">
        <f>HYPERLINK("https://twitter.com/Jes_Pacheco_Gal/status/1071054406337073152","1071054406337073152")</f>
        <v>1071054406337073152</v>
      </c>
      <c r="F1184" s="12" t="s">
        <v>2366</v>
      </c>
      <c r="G1184" s="11"/>
      <c r="H1184" s="11"/>
      <c r="I1184" s="13">
        <v>4</v>
      </c>
      <c r="J1184" s="13">
        <v>4</v>
      </c>
      <c r="K1184" s="14" t="str">
        <f>HYPERLINK("http://twitter.com","Twitter Web Client")</f>
        <v>Twitter Web Client</v>
      </c>
      <c r="L1184" s="13">
        <v>85</v>
      </c>
      <c r="M1184" s="13">
        <v>90</v>
      </c>
      <c r="N1184" s="13">
        <v>0</v>
      </c>
      <c r="O1184" s="15"/>
      <c r="P1184" s="6">
        <v>43333.989212962959</v>
      </c>
      <c r="Q1184" s="11"/>
      <c r="R1184" s="19" t="s">
        <v>2176</v>
      </c>
      <c r="S1184" s="11"/>
      <c r="T1184" s="11"/>
      <c r="U1184" s="10" t="str">
        <f>HYPERLINK("https://pbs.twimg.com/profile_images/1032710327589384192/K8kRexrm.jpg","View")</f>
        <v>View</v>
      </c>
    </row>
    <row r="1185" spans="1:21" ht="51">
      <c r="A1185" s="6">
        <v>43441.659953703704</v>
      </c>
      <c r="B1185" s="7" t="str">
        <f>HYPERLINK("https://twitter.com/manuel_ponte","@manuel_ponte")</f>
        <v>@manuel_ponte</v>
      </c>
      <c r="C1185" s="8" t="s">
        <v>5530</v>
      </c>
      <c r="D1185" s="9" t="s">
        <v>5531</v>
      </c>
      <c r="E1185" s="10" t="str">
        <f>HYPERLINK("https://twitter.com/manuel_ponte/status/1071054307984842752","1071054307984842752")</f>
        <v>1071054307984842752</v>
      </c>
      <c r="F1185" s="11"/>
      <c r="G1185" s="11"/>
      <c r="H1185" s="11"/>
      <c r="I1185" s="13">
        <v>0</v>
      </c>
      <c r="J1185" s="13">
        <v>1</v>
      </c>
      <c r="K1185" s="14" t="str">
        <f>HYPERLINK("http://twitter.com/download/android","Twitter for Android")</f>
        <v>Twitter for Android</v>
      </c>
      <c r="L1185" s="13">
        <v>481</v>
      </c>
      <c r="M1185" s="13">
        <v>1014</v>
      </c>
      <c r="N1185" s="13">
        <v>25</v>
      </c>
      <c r="O1185" s="15"/>
      <c r="P1185" s="6">
        <v>40742.973344907405</v>
      </c>
      <c r="Q1185" s="18" t="s">
        <v>256</v>
      </c>
      <c r="R1185" s="19" t="s">
        <v>5532</v>
      </c>
      <c r="S1185" s="12" t="s">
        <v>5533</v>
      </c>
      <c r="T1185" s="11"/>
      <c r="U1185" s="10" t="str">
        <f>HYPERLINK("https://pbs.twimg.com/profile_images/628140786908033025/edM2waXQ.jpg","View")</f>
        <v>View</v>
      </c>
    </row>
    <row r="1186" spans="1:21" ht="40.799999999999997">
      <c r="A1186" s="6">
        <v>43441.659502314811</v>
      </c>
      <c r="B1186" s="7" t="str">
        <f>HYPERLINK("https://twitter.com/NicoleP34312553","@NicoleP34312553")</f>
        <v>@NicoleP34312553</v>
      </c>
      <c r="C1186" s="8" t="s">
        <v>188</v>
      </c>
      <c r="D1186" s="9" t="s">
        <v>2368</v>
      </c>
      <c r="E1186" s="10" t="str">
        <f>HYPERLINK("https://twitter.com/NicoleP34312553/status/1071054143530430464","1071054143530430464")</f>
        <v>1071054143530430464</v>
      </c>
      <c r="F1186" s="11"/>
      <c r="G1186" s="11"/>
      <c r="H1186" s="11"/>
      <c r="I1186" s="13">
        <v>18</v>
      </c>
      <c r="J1186" s="13">
        <v>36</v>
      </c>
      <c r="K1186" s="14" t="str">
        <f>HYPERLINK("https://mobile.twitter.com","Twitter Lite")</f>
        <v>Twitter Lite</v>
      </c>
      <c r="L1186" s="13">
        <v>926</v>
      </c>
      <c r="M1186" s="13">
        <v>1564</v>
      </c>
      <c r="N1186" s="13">
        <v>1</v>
      </c>
      <c r="O1186" s="15"/>
      <c r="P1186" s="6">
        <v>43398.700578703705</v>
      </c>
      <c r="Q1186" s="18" t="s">
        <v>195</v>
      </c>
      <c r="R1186" s="19" t="s">
        <v>196</v>
      </c>
      <c r="S1186" s="11"/>
      <c r="T1186" s="11"/>
      <c r="U1186" s="10" t="str">
        <f>HYPERLINK("https://pbs.twimg.com/profile_images/1065034431688265728/UuJs7FO7.jpg","View")</f>
        <v>View</v>
      </c>
    </row>
    <row r="1187" spans="1:21" ht="102">
      <c r="A1187" s="6">
        <v>43441.659270833334</v>
      </c>
      <c r="B1187" s="7" t="str">
        <f>HYPERLINK("https://twitter.com/RafaelRuiz1957","@RafaelRuiz1957")</f>
        <v>@RafaelRuiz1957</v>
      </c>
      <c r="C1187" s="8" t="s">
        <v>5520</v>
      </c>
      <c r="D1187" s="9" t="s">
        <v>5534</v>
      </c>
      <c r="E1187" s="10" t="str">
        <f>HYPERLINK("https://twitter.com/RafaelRuiz1957/status/1071054057895165952","1071054057895165952")</f>
        <v>1071054057895165952</v>
      </c>
      <c r="F1187" s="12" t="s">
        <v>5535</v>
      </c>
      <c r="G1187" s="11"/>
      <c r="H1187" s="11"/>
      <c r="I1187" s="13">
        <v>1</v>
      </c>
      <c r="J1187" s="13">
        <v>2</v>
      </c>
      <c r="K1187" s="14" t="str">
        <f t="shared" ref="K1187:K1188" si="214">HYPERLINK("http://twitter.com","Twitter Web Client")</f>
        <v>Twitter Web Client</v>
      </c>
      <c r="L1187" s="13">
        <v>12931</v>
      </c>
      <c r="M1187" s="13">
        <v>14175</v>
      </c>
      <c r="N1187" s="13">
        <v>67</v>
      </c>
      <c r="O1187" s="15"/>
      <c r="P1187" s="6">
        <v>42309.961446759262</v>
      </c>
      <c r="Q1187" s="18" t="s">
        <v>100</v>
      </c>
      <c r="R1187" s="19" t="s">
        <v>5523</v>
      </c>
      <c r="S1187" s="12" t="s">
        <v>5524</v>
      </c>
      <c r="T1187" s="11"/>
      <c r="U1187" s="10" t="str">
        <f>HYPERLINK("https://pbs.twimg.com/profile_images/678339876438282240/8EY5D3h1.jpg","View")</f>
        <v>View</v>
      </c>
    </row>
    <row r="1188" spans="1:21" ht="40.799999999999997">
      <c r="A1188" s="6">
        <v>43441.658726851849</v>
      </c>
      <c r="B1188" s="7" t="str">
        <f>HYPERLINK("https://twitter.com/TRAGATEL0","@TRAGATEL0")</f>
        <v>@TRAGATEL0</v>
      </c>
      <c r="C1188" s="8" t="s">
        <v>5408</v>
      </c>
      <c r="D1188" s="9" t="s">
        <v>5536</v>
      </c>
      <c r="E1188" s="10" t="str">
        <f>HYPERLINK("https://twitter.com/TRAGATEL0/status/1071053863598387201","1071053863598387201")</f>
        <v>1071053863598387201</v>
      </c>
      <c r="F1188" s="11"/>
      <c r="G1188" s="11"/>
      <c r="H1188" s="11"/>
      <c r="I1188" s="13">
        <v>1</v>
      </c>
      <c r="J1188" s="13">
        <v>1</v>
      </c>
      <c r="K1188" s="14" t="str">
        <f t="shared" si="214"/>
        <v>Twitter Web Client</v>
      </c>
      <c r="L1188" s="13">
        <v>2867</v>
      </c>
      <c r="M1188" s="13">
        <v>3352</v>
      </c>
      <c r="N1188" s="13">
        <v>50</v>
      </c>
      <c r="O1188" s="15"/>
      <c r="P1188" s="6">
        <v>42600.667349537034</v>
      </c>
      <c r="Q1188" s="11"/>
      <c r="R1188" s="19" t="s">
        <v>5410</v>
      </c>
      <c r="S1188" s="12" t="s">
        <v>5411</v>
      </c>
      <c r="T1188" s="11"/>
      <c r="U1188" s="10" t="str">
        <f>HYPERLINK("https://pbs.twimg.com/profile_images/991752424602980352/Tbez7IZi.jpg","View")</f>
        <v>View</v>
      </c>
    </row>
    <row r="1189" spans="1:21" ht="51">
      <c r="A1189" s="6">
        <v>43441.657048611116</v>
      </c>
      <c r="B1189" s="7" t="str">
        <f>HYPERLINK("https://twitter.com/Mbelengarc","@Mbelengarc")</f>
        <v>@Mbelengarc</v>
      </c>
      <c r="C1189" s="8" t="s">
        <v>2371</v>
      </c>
      <c r="D1189" s="9" t="s">
        <v>2372</v>
      </c>
      <c r="E1189" s="10" t="str">
        <f>HYPERLINK("https://twitter.com/Mbelengarc/status/1071053253130010624","1071053253130010624")</f>
        <v>1071053253130010624</v>
      </c>
      <c r="F1189" s="12" t="s">
        <v>166</v>
      </c>
      <c r="G1189" s="11"/>
      <c r="H1189" s="11"/>
      <c r="I1189" s="13">
        <v>3</v>
      </c>
      <c r="J1189" s="13">
        <v>0</v>
      </c>
      <c r="K1189" s="14" t="str">
        <f t="shared" ref="K1189:K1190" si="215">HYPERLINK("http://twitter.com/download/iphone","Twitter for iPhone")</f>
        <v>Twitter for iPhone</v>
      </c>
      <c r="L1189" s="13">
        <v>244</v>
      </c>
      <c r="M1189" s="13">
        <v>97</v>
      </c>
      <c r="N1189" s="13">
        <v>4</v>
      </c>
      <c r="O1189" s="15"/>
      <c r="P1189" s="6">
        <v>41334.691886574074</v>
      </c>
      <c r="Q1189" s="18" t="s">
        <v>2375</v>
      </c>
      <c r="R1189" s="19" t="s">
        <v>2376</v>
      </c>
      <c r="S1189" s="11"/>
      <c r="T1189" s="11"/>
      <c r="U1189" s="10" t="str">
        <f>HYPERLINK("https://pbs.twimg.com/profile_images/974626606340820992/VspSf_uu.jpg","View")</f>
        <v>View</v>
      </c>
    </row>
    <row r="1190" spans="1:21" ht="51">
      <c r="A1190" s="6">
        <v>43441.65662037037</v>
      </c>
      <c r="B1190" s="7" t="str">
        <f>HYPERLINK("https://twitter.com/freddyzur","@freddyzur")</f>
        <v>@freddyzur</v>
      </c>
      <c r="C1190" s="8" t="s">
        <v>5537</v>
      </c>
      <c r="D1190" s="9" t="s">
        <v>2879</v>
      </c>
      <c r="E1190" s="10" t="str">
        <f>HYPERLINK("https://twitter.com/freddyzur/status/1071053099614330880","1071053099614330880")</f>
        <v>1071053099614330880</v>
      </c>
      <c r="F1190" s="12" t="s">
        <v>2161</v>
      </c>
      <c r="G1190" s="11"/>
      <c r="H1190" s="11"/>
      <c r="I1190" s="13">
        <v>3</v>
      </c>
      <c r="J1190" s="13">
        <v>2</v>
      </c>
      <c r="K1190" s="14" t="str">
        <f t="shared" si="215"/>
        <v>Twitter for iPhone</v>
      </c>
      <c r="L1190" s="13">
        <v>19579</v>
      </c>
      <c r="M1190" s="13">
        <v>12206</v>
      </c>
      <c r="N1190" s="13">
        <v>67</v>
      </c>
      <c r="O1190" s="15"/>
      <c r="P1190" s="6">
        <v>40203.921979166669</v>
      </c>
      <c r="Q1190" s="11"/>
      <c r="R1190" s="19" t="s">
        <v>5538</v>
      </c>
      <c r="S1190" s="11"/>
      <c r="T1190" s="11"/>
      <c r="U1190" s="10" t="str">
        <f>HYPERLINK("https://pbs.twimg.com/profile_images/512772477563305984/j5pnCZZy.jpeg","View")</f>
        <v>View</v>
      </c>
    </row>
    <row r="1191" spans="1:21" ht="61.2">
      <c r="A1191" s="6">
        <v>43441.653715277775</v>
      </c>
      <c r="B1191" s="7" t="str">
        <f>HYPERLINK("https://twitter.com/SevillaTudei","@SevillaTudei")</f>
        <v>@SevillaTudei</v>
      </c>
      <c r="C1191" s="8" t="s">
        <v>2379</v>
      </c>
      <c r="D1191" s="9" t="s">
        <v>2381</v>
      </c>
      <c r="E1191" s="10" t="str">
        <f>HYPERLINK("https://twitter.com/SevillaTudei/status/1071052044977532928","1071052044977532928")</f>
        <v>1071052044977532928</v>
      </c>
      <c r="F1191" s="18" t="s">
        <v>2382</v>
      </c>
      <c r="G1191" s="12" t="s">
        <v>2383</v>
      </c>
      <c r="H1191" s="11"/>
      <c r="I1191" s="13">
        <v>0</v>
      </c>
      <c r="J1191" s="13">
        <v>0</v>
      </c>
      <c r="K1191" s="14" t="str">
        <f>HYPERLINK("http://twitter.com/download/android","Twitter for Android")</f>
        <v>Twitter for Android</v>
      </c>
      <c r="L1191" s="13">
        <v>145</v>
      </c>
      <c r="M1191" s="13">
        <v>270</v>
      </c>
      <c r="N1191" s="13">
        <v>3</v>
      </c>
      <c r="O1191" s="15"/>
      <c r="P1191" s="6">
        <v>41801.745752314819</v>
      </c>
      <c r="Q1191" s="18" t="s">
        <v>2384</v>
      </c>
      <c r="R1191" s="19" t="s">
        <v>2385</v>
      </c>
      <c r="S1191" s="11"/>
      <c r="T1191" s="11"/>
      <c r="U1191" s="10" t="str">
        <f>HYPERLINK("https://pbs.twimg.com/profile_images/1065248417939693568/quD8zYty.jpg","View")</f>
        <v>View</v>
      </c>
    </row>
    <row r="1192" spans="1:21" ht="40.799999999999997">
      <c r="A1192" s="6">
        <v>43441.653495370367</v>
      </c>
      <c r="B1192" s="7" t="str">
        <f>HYPERLINK("https://twitter.com/Keynanlit","@Keynanlit")</f>
        <v>@Keynanlit</v>
      </c>
      <c r="C1192" s="8" t="s">
        <v>2386</v>
      </c>
      <c r="D1192" s="9" t="s">
        <v>2387</v>
      </c>
      <c r="E1192" s="10" t="str">
        <f>HYPERLINK("https://twitter.com/Keynanlit/status/1071051964346261505","1071051964346261505")</f>
        <v>1071051964346261505</v>
      </c>
      <c r="F1192" s="11"/>
      <c r="G1192" s="12" t="s">
        <v>2388</v>
      </c>
      <c r="H1192" s="11"/>
      <c r="I1192" s="13">
        <v>0</v>
      </c>
      <c r="J1192" s="13">
        <v>0</v>
      </c>
      <c r="K1192" s="14" t="str">
        <f>HYPERLINK("http://twitter.com","Twitter Web Client")</f>
        <v>Twitter Web Client</v>
      </c>
      <c r="L1192" s="13">
        <v>315</v>
      </c>
      <c r="M1192" s="13">
        <v>624</v>
      </c>
      <c r="N1192" s="13">
        <v>3</v>
      </c>
      <c r="O1192" s="15"/>
      <c r="P1192" s="6">
        <v>42398.653136574074</v>
      </c>
      <c r="Q1192" s="18" t="s">
        <v>42</v>
      </c>
      <c r="R1192" s="19" t="s">
        <v>2389</v>
      </c>
      <c r="S1192" s="11"/>
      <c r="T1192" s="11"/>
      <c r="U1192" s="10" t="str">
        <f>HYPERLINK("https://pbs.twimg.com/profile_images/921779312117809152/iCQEnSdZ.jpg","View")</f>
        <v>View</v>
      </c>
    </row>
    <row r="1193" spans="1:21" ht="51">
      <c r="A1193" s="6">
        <v>43441.653379629628</v>
      </c>
      <c r="B1193" s="7" t="str">
        <f>HYPERLINK("https://twitter.com/EstulinDaniel","@EstulinDaniel")</f>
        <v>@EstulinDaniel</v>
      </c>
      <c r="C1193" s="8" t="s">
        <v>5332</v>
      </c>
      <c r="D1193" s="9" t="s">
        <v>5539</v>
      </c>
      <c r="E1193" s="10" t="str">
        <f>HYPERLINK("https://twitter.com/EstulinDaniel/status/1071051924785393666","1071051924785393666")</f>
        <v>1071051924785393666</v>
      </c>
      <c r="F1193" s="11"/>
      <c r="G1193" s="11"/>
      <c r="H1193" s="11"/>
      <c r="I1193" s="13">
        <v>31</v>
      </c>
      <c r="J1193" s="13">
        <v>93</v>
      </c>
      <c r="K1193" s="14" t="str">
        <f>HYPERLINK("http://twitter.com/download/android","Twitter for Android")</f>
        <v>Twitter for Android</v>
      </c>
      <c r="L1193" s="13">
        <v>19502</v>
      </c>
      <c r="M1193" s="13">
        <v>501</v>
      </c>
      <c r="N1193" s="13">
        <v>330</v>
      </c>
      <c r="O1193" s="15"/>
      <c r="P1193" s="6">
        <v>41619.837673611109</v>
      </c>
      <c r="Q1193" s="18" t="s">
        <v>5335</v>
      </c>
      <c r="R1193" s="19" t="s">
        <v>5336</v>
      </c>
      <c r="S1193" s="12" t="s">
        <v>5337</v>
      </c>
      <c r="T1193" s="11"/>
      <c r="U1193" s="10" t="str">
        <f>HYPERLINK("https://pbs.twimg.com/profile_images/961058688722071552/6E_wXuAa.jpg","View")</f>
        <v>View</v>
      </c>
    </row>
    <row r="1194" spans="1:21" ht="20.399999999999999">
      <c r="A1194" s="6">
        <v>43441.653356481482</v>
      </c>
      <c r="B1194" s="7" t="str">
        <f>HYPERLINK("https://twitter.com/fabianlosada5","@fabianlosada5")</f>
        <v>@fabianlosada5</v>
      </c>
      <c r="C1194" s="8" t="s">
        <v>1869</v>
      </c>
      <c r="D1194" s="9" t="s">
        <v>2393</v>
      </c>
      <c r="E1194" s="10" t="str">
        <f>HYPERLINK("https://twitter.com/fabianlosada5/status/1071051916854128640","1071051916854128640")</f>
        <v>1071051916854128640</v>
      </c>
      <c r="F1194" s="18" t="s">
        <v>2396</v>
      </c>
      <c r="G1194" s="11"/>
      <c r="H1194" s="11"/>
      <c r="I1194" s="13">
        <v>0</v>
      </c>
      <c r="J1194" s="13">
        <v>0</v>
      </c>
      <c r="K1194" s="14" t="str">
        <f>HYPERLINK("http://twitter.com/download/iphone","Twitter for iPhone")</f>
        <v>Twitter for iPhone</v>
      </c>
      <c r="L1194" s="13">
        <v>40</v>
      </c>
      <c r="M1194" s="13">
        <v>461</v>
      </c>
      <c r="N1194" s="13">
        <v>0</v>
      </c>
      <c r="O1194" s="15"/>
      <c r="P1194" s="6">
        <v>43240.373287037037</v>
      </c>
      <c r="Q1194" s="18" t="s">
        <v>173</v>
      </c>
      <c r="R1194" s="19" t="s">
        <v>1874</v>
      </c>
      <c r="S1194" s="11"/>
      <c r="T1194" s="11"/>
      <c r="U1194" s="10" t="str">
        <f>HYPERLINK("https://pbs.twimg.com/profile_images/998097267448991744/0q5jMlsX.jpg","View")</f>
        <v>View</v>
      </c>
    </row>
    <row r="1195" spans="1:21" ht="61.2">
      <c r="A1195" s="6">
        <v>43441.652442129634</v>
      </c>
      <c r="B1195" s="7" t="str">
        <f>HYPERLINK("https://twitter.com/tetratraviesa","@tetratraviesa")</f>
        <v>@tetratraviesa</v>
      </c>
      <c r="C1195" s="8" t="s">
        <v>2399</v>
      </c>
      <c r="D1195" s="9" t="s">
        <v>2400</v>
      </c>
      <c r="E1195" s="10" t="str">
        <f>HYPERLINK("https://twitter.com/tetratraviesa/status/1071051585000755201","1071051585000755201")</f>
        <v>1071051585000755201</v>
      </c>
      <c r="F1195" s="11"/>
      <c r="G1195" s="12" t="s">
        <v>2401</v>
      </c>
      <c r="H1195" s="11"/>
      <c r="I1195" s="13">
        <v>0</v>
      </c>
      <c r="J1195" s="13">
        <v>0</v>
      </c>
      <c r="K1195" s="14" t="str">
        <f>HYPERLINK("https://mobile.twitter.com","Twitter Lite")</f>
        <v>Twitter Lite</v>
      </c>
      <c r="L1195" s="13">
        <v>114</v>
      </c>
      <c r="M1195" s="13">
        <v>333</v>
      </c>
      <c r="N1195" s="13">
        <v>0</v>
      </c>
      <c r="O1195" s="15"/>
      <c r="P1195" s="6">
        <v>43186.731273148151</v>
      </c>
      <c r="Q1195" s="11"/>
      <c r="R1195" s="19" t="s">
        <v>2404</v>
      </c>
      <c r="S1195" s="11"/>
      <c r="T1195" s="11"/>
      <c r="U1195" s="10" t="str">
        <f>HYPERLINK("https://pbs.twimg.com/profile_images/1000959553247285248/Py4FSQoT.jpg","View")</f>
        <v>View</v>
      </c>
    </row>
    <row r="1196" spans="1:21" ht="20.399999999999999">
      <c r="A1196" s="6">
        <v>43441.65115740741</v>
      </c>
      <c r="B1196" s="7" t="str">
        <f>HYPERLINK("https://twitter.com/negativo_stats","@negativo_stats")</f>
        <v>@negativo_stats</v>
      </c>
      <c r="C1196" s="8" t="s">
        <v>176</v>
      </c>
      <c r="D1196" s="9" t="s">
        <v>177</v>
      </c>
      <c r="E1196" s="10" t="str">
        <f>HYPERLINK("https://twitter.com/negativo_stats/status/1071051116727754752","1071051116727754752")</f>
        <v>1071051116727754752</v>
      </c>
      <c r="F1196" s="11"/>
      <c r="G1196" s="12" t="s">
        <v>2405</v>
      </c>
      <c r="H1196" s="11"/>
      <c r="I1196" s="13">
        <v>0</v>
      </c>
      <c r="J1196" s="13">
        <v>0</v>
      </c>
      <c r="K1196" s="14" t="str">
        <f>HYPERLINK("http://kosmonautica.es","Política Negativa")</f>
        <v>Política Negativa</v>
      </c>
      <c r="L1196" s="13">
        <v>268</v>
      </c>
      <c r="M1196" s="13">
        <v>788</v>
      </c>
      <c r="N1196" s="13">
        <v>2</v>
      </c>
      <c r="O1196" s="15"/>
      <c r="P1196" s="6">
        <v>42171.770601851851</v>
      </c>
      <c r="Q1196" s="18" t="s">
        <v>41</v>
      </c>
      <c r="R1196" s="19" t="s">
        <v>182</v>
      </c>
      <c r="S1196" s="11"/>
      <c r="T1196" s="11"/>
      <c r="U1196" s="10" t="str">
        <f>HYPERLINK("https://pbs.twimg.com/profile_images/628553625984438272/e-VHyhP1.png","View")</f>
        <v>View</v>
      </c>
    </row>
    <row r="1197" spans="1:21" ht="61.2">
      <c r="A1197" s="6">
        <v>43441.649965277778</v>
      </c>
      <c r="B1197" s="7" t="str">
        <f>HYPERLINK("https://twitter.com/HOPE443135511","@HOPE443135511")</f>
        <v>@HOPE443135511</v>
      </c>
      <c r="C1197" s="8" t="s">
        <v>2410</v>
      </c>
      <c r="D1197" s="9" t="s">
        <v>2411</v>
      </c>
      <c r="E1197" s="10" t="str">
        <f>HYPERLINK("https://twitter.com/HOPE443135511/status/1071050686870274050","1071050686870274050")</f>
        <v>1071050686870274050</v>
      </c>
      <c r="F1197" s="12" t="s">
        <v>1465</v>
      </c>
      <c r="G1197" s="11"/>
      <c r="H1197" s="11"/>
      <c r="I1197" s="13">
        <v>0</v>
      </c>
      <c r="J1197" s="13">
        <v>0</v>
      </c>
      <c r="K1197" s="14" t="str">
        <f>HYPERLINK("http://twitter.com/download/android","Twitter for Android")</f>
        <v>Twitter for Android</v>
      </c>
      <c r="L1197" s="13">
        <v>121</v>
      </c>
      <c r="M1197" s="13">
        <v>109</v>
      </c>
      <c r="N1197" s="13">
        <v>3</v>
      </c>
      <c r="O1197" s="15"/>
      <c r="P1197" s="6">
        <v>43153.742974537032</v>
      </c>
      <c r="Q1197" s="11"/>
      <c r="R1197" s="19" t="s">
        <v>2414</v>
      </c>
      <c r="S1197" s="11"/>
      <c r="T1197" s="11"/>
      <c r="U1197" s="10" t="str">
        <f>HYPERLINK("https://pbs.twimg.com/profile_images/1070311184618938370/k-6b5nJv.jpg","View")</f>
        <v>View</v>
      </c>
    </row>
    <row r="1198" spans="1:21" ht="30.6">
      <c r="A1198" s="6">
        <v>43441.64979166667</v>
      </c>
      <c r="B1198" s="7" t="str">
        <f>HYPERLINK("https://twitter.com/BenHanscom","@BenHanscom")</f>
        <v>@BenHanscom</v>
      </c>
      <c r="C1198" s="8" t="s">
        <v>5540</v>
      </c>
      <c r="D1198" s="9" t="s">
        <v>5541</v>
      </c>
      <c r="E1198" s="10" t="str">
        <f>HYPERLINK("https://twitter.com/BenHanscom/status/1071050624119246849","1071050624119246849")</f>
        <v>1071050624119246849</v>
      </c>
      <c r="F1198" s="11"/>
      <c r="G1198" s="11"/>
      <c r="H1198" s="11"/>
      <c r="I1198" s="13">
        <v>0</v>
      </c>
      <c r="J1198" s="13">
        <v>1</v>
      </c>
      <c r="K1198" s="14" t="str">
        <f>HYPERLINK("https://mobile.twitter.com","Twitter Lite")</f>
        <v>Twitter Lite</v>
      </c>
      <c r="L1198" s="13">
        <v>88</v>
      </c>
      <c r="M1198" s="13">
        <v>171</v>
      </c>
      <c r="N1198" s="13">
        <v>3</v>
      </c>
      <c r="O1198" s="15"/>
      <c r="P1198" s="6">
        <v>40683.88863425926</v>
      </c>
      <c r="Q1198" s="11"/>
      <c r="R1198" s="19" t="s">
        <v>5542</v>
      </c>
      <c r="S1198" s="11"/>
      <c r="T1198" s="11"/>
      <c r="U1198" s="10" t="str">
        <f>HYPERLINK("https://pbs.twimg.com/profile_images/568794689781116928/8MN1C2qD.jpeg","View")</f>
        <v>View</v>
      </c>
    </row>
    <row r="1199" spans="1:21" ht="20.399999999999999">
      <c r="A1199" s="6">
        <v>43441.64912037037</v>
      </c>
      <c r="B1199" s="7" t="str">
        <f>HYPERLINK("https://twitter.com/Cal_loJesu","@Cal_loJesu")</f>
        <v>@Cal_loJesu</v>
      </c>
      <c r="C1199" s="8" t="s">
        <v>2415</v>
      </c>
      <c r="D1199" s="9" t="s">
        <v>2416</v>
      </c>
      <c r="E1199" s="10" t="str">
        <f>HYPERLINK("https://twitter.com/Cal_loJesu/status/1071050382204383233","1071050382204383233")</f>
        <v>1071050382204383233</v>
      </c>
      <c r="F1199" s="12" t="s">
        <v>2417</v>
      </c>
      <c r="G1199" s="12" t="s">
        <v>2419</v>
      </c>
      <c r="H1199" s="11"/>
      <c r="I1199" s="13">
        <v>0</v>
      </c>
      <c r="J1199" s="13">
        <v>1</v>
      </c>
      <c r="K1199" s="14" t="str">
        <f>HYPERLINK("http://twitter.com/#!/download/ipad","Twitter for iPad")</f>
        <v>Twitter for iPad</v>
      </c>
      <c r="L1199" s="13">
        <v>139</v>
      </c>
      <c r="M1199" s="13">
        <v>419</v>
      </c>
      <c r="N1199" s="13">
        <v>0</v>
      </c>
      <c r="O1199" s="15"/>
      <c r="P1199" s="6">
        <v>43043.51457175926</v>
      </c>
      <c r="Q1199" s="18" t="s">
        <v>671</v>
      </c>
      <c r="R1199" s="19" t="s">
        <v>2421</v>
      </c>
      <c r="S1199" s="11"/>
      <c r="T1199" s="11"/>
      <c r="U1199" s="10" t="str">
        <f>HYPERLINK("https://pbs.twimg.com/profile_images/926773652275609600/PKbmGqG5.jpg","View")</f>
        <v>View</v>
      </c>
    </row>
    <row r="1200" spans="1:21" ht="40.799999999999997">
      <c r="A1200" s="6">
        <v>43441.648969907408</v>
      </c>
      <c r="B1200" s="7" t="str">
        <f>HYPERLINK("https://twitter.com/Famelica_legion","@Famelica_legion")</f>
        <v>@Famelica_legion</v>
      </c>
      <c r="C1200" s="8" t="s">
        <v>2107</v>
      </c>
      <c r="D1200" s="9" t="s">
        <v>2422</v>
      </c>
      <c r="E1200" s="10" t="str">
        <f>HYPERLINK("https://twitter.com/Famelica_legion/status/1071050326558601219","1071050326558601219")</f>
        <v>1071050326558601219</v>
      </c>
      <c r="F1200" s="11"/>
      <c r="G1200" s="12" t="s">
        <v>2423</v>
      </c>
      <c r="H1200" s="11"/>
      <c r="I1200" s="13">
        <v>5</v>
      </c>
      <c r="J1200" s="13">
        <v>7</v>
      </c>
      <c r="K1200" s="14" t="str">
        <f>HYPERLINK("http://twitter.com","Twitter Web Client")</f>
        <v>Twitter Web Client</v>
      </c>
      <c r="L1200" s="13">
        <v>57320</v>
      </c>
      <c r="M1200" s="13">
        <v>34746</v>
      </c>
      <c r="N1200" s="13">
        <v>368</v>
      </c>
      <c r="O1200" s="15"/>
      <c r="P1200" s="6">
        <v>40999.601747685185</v>
      </c>
      <c r="Q1200" s="11"/>
      <c r="R1200" s="19" t="s">
        <v>2109</v>
      </c>
      <c r="S1200" s="12" t="s">
        <v>2111</v>
      </c>
      <c r="T1200" s="11"/>
      <c r="U1200" s="10" t="str">
        <f>HYPERLINK("https://pbs.twimg.com/profile_images/875403697219620865/ni6ZDU-O.jpg","View")</f>
        <v>View</v>
      </c>
    </row>
    <row r="1201" spans="1:21" ht="71.400000000000006">
      <c r="A1201" s="6">
        <v>43441.64875</v>
      </c>
      <c r="B1201" s="7" t="str">
        <f>HYPERLINK("https://twitter.com/TomOjeda","@TomOjeda")</f>
        <v>@TomOjeda</v>
      </c>
      <c r="C1201" s="8" t="s">
        <v>2428</v>
      </c>
      <c r="D1201" s="9" t="s">
        <v>2429</v>
      </c>
      <c r="E1201" s="10" t="str">
        <f>HYPERLINK("https://twitter.com/TomOjeda/status/1071050244652195841","1071050244652195841")</f>
        <v>1071050244652195841</v>
      </c>
      <c r="F1201" s="12" t="s">
        <v>2430</v>
      </c>
      <c r="G1201" s="11"/>
      <c r="H1201" s="11"/>
      <c r="I1201" s="13">
        <v>0</v>
      </c>
      <c r="J1201" s="13">
        <v>1</v>
      </c>
      <c r="K1201" s="14" t="str">
        <f>HYPERLINK("http://twitter.com/download/iphone","Twitter for iPhone")</f>
        <v>Twitter for iPhone</v>
      </c>
      <c r="L1201" s="13">
        <v>38</v>
      </c>
      <c r="M1201" s="13">
        <v>109</v>
      </c>
      <c r="N1201" s="13">
        <v>0</v>
      </c>
      <c r="O1201" s="15"/>
      <c r="P1201" s="6">
        <v>40291.875289351854</v>
      </c>
      <c r="Q1201" s="18" t="s">
        <v>98</v>
      </c>
      <c r="R1201" s="17"/>
      <c r="S1201" s="11"/>
      <c r="T1201" s="11"/>
      <c r="U1201" s="10" t="str">
        <f>HYPERLINK("https://pbs.twimg.com/profile_images/412234468225581056/Y53w5n59.jpeg","View")</f>
        <v>View</v>
      </c>
    </row>
    <row r="1202" spans="1:21" ht="20.399999999999999">
      <c r="A1202" s="6">
        <v>43441.648645833338</v>
      </c>
      <c r="B1202" s="7" t="str">
        <f>HYPERLINK("https://twitter.com/ikercasa","@ikercasa")</f>
        <v>@ikercasa</v>
      </c>
      <c r="C1202" s="8" t="s">
        <v>2434</v>
      </c>
      <c r="D1202" s="9" t="s">
        <v>2435</v>
      </c>
      <c r="E1202" s="10" t="str">
        <f>HYPERLINK("https://twitter.com/ikercasa/status/1071050207511617537","1071050207511617537")</f>
        <v>1071050207511617537</v>
      </c>
      <c r="F1202" s="12" t="s">
        <v>2436</v>
      </c>
      <c r="G1202" s="11"/>
      <c r="H1202" s="11"/>
      <c r="I1202" s="13">
        <v>0</v>
      </c>
      <c r="J1202" s="13">
        <v>0</v>
      </c>
      <c r="K1202" s="14" t="str">
        <f>HYPERLINK("http://twitter.com/download/android","Twitter for Android")</f>
        <v>Twitter for Android</v>
      </c>
      <c r="L1202" s="13">
        <v>504</v>
      </c>
      <c r="M1202" s="13">
        <v>841</v>
      </c>
      <c r="N1202" s="13">
        <v>3</v>
      </c>
      <c r="O1202" s="15"/>
      <c r="P1202" s="6">
        <v>40770.530590277776</v>
      </c>
      <c r="Q1202" s="11"/>
      <c r="R1202" s="19" t="s">
        <v>2437</v>
      </c>
      <c r="S1202" s="11"/>
      <c r="T1202" s="11"/>
      <c r="U1202" s="10" t="str">
        <f>HYPERLINK("https://pbs.twimg.com/profile_images/1058277938683170816/P3cyx2Px.jpg","View")</f>
        <v>View</v>
      </c>
    </row>
    <row r="1203" spans="1:21" ht="13.2">
      <c r="A1203" s="6">
        <v>43441.646898148145</v>
      </c>
      <c r="B1203" s="7" t="str">
        <f>HYPERLINK("https://twitter.com/RuinedBread2","@RuinedBread2")</f>
        <v>@RuinedBread2</v>
      </c>
      <c r="C1203" s="8" t="s">
        <v>5543</v>
      </c>
      <c r="D1203" s="9" t="s">
        <v>5544</v>
      </c>
      <c r="E1203" s="10" t="str">
        <f>HYPERLINK("https://twitter.com/RuinedBread2/status/1071049573639045121","1071049573639045121")</f>
        <v>1071049573639045121</v>
      </c>
      <c r="F1203" s="11"/>
      <c r="G1203" s="12" t="s">
        <v>5545</v>
      </c>
      <c r="H1203" s="11"/>
      <c r="I1203" s="13">
        <v>3</v>
      </c>
      <c r="J1203" s="13">
        <v>38</v>
      </c>
      <c r="K1203" s="14" t="str">
        <f>HYPERLINK("https://about.twitter.com/products/tweetdeck","TweetDeck")</f>
        <v>TweetDeck</v>
      </c>
      <c r="L1203" s="13">
        <v>1177</v>
      </c>
      <c r="M1203" s="13">
        <v>556</v>
      </c>
      <c r="N1203" s="13">
        <v>23</v>
      </c>
      <c r="O1203" s="15"/>
      <c r="P1203" s="6">
        <v>42054.623981481476</v>
      </c>
      <c r="Q1203" s="18" t="s">
        <v>5546</v>
      </c>
      <c r="R1203" s="19" t="s">
        <v>5547</v>
      </c>
      <c r="S1203" s="12" t="s">
        <v>5548</v>
      </c>
      <c r="T1203" s="11"/>
      <c r="U1203" s="10" t="str">
        <f>HYPERLINK("https://pbs.twimg.com/profile_images/1071033119640313857/5hz5K04P.jpg","View")</f>
        <v>View</v>
      </c>
    </row>
    <row r="1204" spans="1:21" ht="40.799999999999997">
      <c r="A1204" s="6">
        <v>43441.646481481483</v>
      </c>
      <c r="B1204" s="7" t="str">
        <f>HYPERLINK("https://twitter.com/Tonho_Randeeira","@Tonho_Randeeira")</f>
        <v>@Tonho_Randeeira</v>
      </c>
      <c r="C1204" s="8" t="s">
        <v>5549</v>
      </c>
      <c r="D1204" s="9" t="s">
        <v>879</v>
      </c>
      <c r="E1204" s="10" t="str">
        <f>HYPERLINK("https://twitter.com/Tonho_Randeeira/status/1071049423613018112","1071049423613018112")</f>
        <v>1071049423613018112</v>
      </c>
      <c r="F1204" s="12" t="s">
        <v>881</v>
      </c>
      <c r="G1204" s="11"/>
      <c r="H1204" s="11"/>
      <c r="I1204" s="13">
        <v>1</v>
      </c>
      <c r="J1204" s="13">
        <v>1</v>
      </c>
      <c r="K1204" s="14" t="str">
        <f>HYPERLINK("http://twitter.com","Twitter Web Client")</f>
        <v>Twitter Web Client</v>
      </c>
      <c r="L1204" s="13">
        <v>776</v>
      </c>
      <c r="M1204" s="13">
        <v>1666</v>
      </c>
      <c r="N1204" s="13">
        <v>12</v>
      </c>
      <c r="O1204" s="15"/>
      <c r="P1204" s="6">
        <v>41286.043888888889</v>
      </c>
      <c r="Q1204" s="18" t="s">
        <v>5550</v>
      </c>
      <c r="R1204" s="19" t="s">
        <v>5551</v>
      </c>
      <c r="S1204" s="12" t="s">
        <v>5552</v>
      </c>
      <c r="T1204" s="11"/>
      <c r="U1204" s="10" t="str">
        <f>HYPERLINK("https://pbs.twimg.com/profile_images/3096567305/0d87bdb78b558e350024d9ad1f4ea508.jpeg","View")</f>
        <v>View</v>
      </c>
    </row>
    <row r="1205" spans="1:21" ht="40.799999999999997">
      <c r="A1205" s="6">
        <v>43441.645937499998</v>
      </c>
      <c r="B1205" s="7" t="str">
        <f>HYPERLINK("https://twitter.com/pechospoliticos","@pechospoliticos")</f>
        <v>@pechospoliticos</v>
      </c>
      <c r="C1205" s="8" t="s">
        <v>4494</v>
      </c>
      <c r="D1205" s="9" t="s">
        <v>5553</v>
      </c>
      <c r="E1205" s="10" t="str">
        <f>HYPERLINK("https://twitter.com/pechospoliticos/status/1071049227281809408","1071049227281809408")</f>
        <v>1071049227281809408</v>
      </c>
      <c r="F1205" s="11"/>
      <c r="G1205" s="11"/>
      <c r="H1205" s="11"/>
      <c r="I1205" s="13">
        <v>0</v>
      </c>
      <c r="J1205" s="13">
        <v>4</v>
      </c>
      <c r="K1205" s="14" t="str">
        <f>HYPERLINK("http://twitter.com/download/iphone","Twitter for iPhone")</f>
        <v>Twitter for iPhone</v>
      </c>
      <c r="L1205" s="13">
        <v>1975</v>
      </c>
      <c r="M1205" s="13">
        <v>2324</v>
      </c>
      <c r="N1205" s="13">
        <v>1</v>
      </c>
      <c r="O1205" s="15"/>
      <c r="P1205" s="6">
        <v>43275.967476851853</v>
      </c>
      <c r="Q1205" s="18" t="s">
        <v>4498</v>
      </c>
      <c r="R1205" s="19" t="s">
        <v>4499</v>
      </c>
      <c r="S1205" s="11"/>
      <c r="T1205" s="11"/>
      <c r="U1205" s="10" t="str">
        <f>HYPERLINK("https://pbs.twimg.com/profile_images/1046321536523800576/emoT7tKm.jpg","View")</f>
        <v>View</v>
      </c>
    </row>
    <row r="1206" spans="1:21" ht="61.2">
      <c r="A1206" s="6">
        <v>43441.645821759259</v>
      </c>
      <c r="B1206" s="7" t="str">
        <f>HYPERLINK("https://twitter.com/NIKITA_NIPONGO_","@NIKITA_NIPONGO_")</f>
        <v>@NIKITA_NIPONGO_</v>
      </c>
      <c r="C1206" s="8" t="s">
        <v>2438</v>
      </c>
      <c r="D1206" s="9" t="s">
        <v>2439</v>
      </c>
      <c r="E1206" s="10" t="str">
        <f>HYPERLINK("https://twitter.com/NIKITA_NIPONGO_/status/1071049184780931073","1071049184780931073")</f>
        <v>1071049184780931073</v>
      </c>
      <c r="F1206" s="11"/>
      <c r="G1206" s="11"/>
      <c r="H1206" s="11"/>
      <c r="I1206" s="13">
        <v>0</v>
      </c>
      <c r="J1206" s="13">
        <v>0</v>
      </c>
      <c r="K1206" s="14" t="str">
        <f t="shared" ref="K1206:K1207" si="216">HYPERLINK("http://twitter.com","Twitter Web Client")</f>
        <v>Twitter Web Client</v>
      </c>
      <c r="L1206" s="13">
        <v>132</v>
      </c>
      <c r="M1206" s="13">
        <v>463</v>
      </c>
      <c r="N1206" s="13">
        <v>10</v>
      </c>
      <c r="O1206" s="15"/>
      <c r="P1206" s="6">
        <v>42469.453958333332</v>
      </c>
      <c r="Q1206" s="18" t="s">
        <v>2440</v>
      </c>
      <c r="R1206" s="19" t="s">
        <v>2441</v>
      </c>
      <c r="S1206" s="11"/>
      <c r="T1206" s="11"/>
      <c r="U1206" s="10" t="str">
        <f>HYPERLINK("https://pbs.twimg.com/profile_images/718724653632602112/iTfoZ8jA.jpg","View")</f>
        <v>View</v>
      </c>
    </row>
    <row r="1207" spans="1:21" ht="51">
      <c r="A1207" s="6">
        <v>43441.645243055551</v>
      </c>
      <c r="B1207" s="7" t="str">
        <f>HYPERLINK("https://twitter.com/migupelo2","@migupelo2")</f>
        <v>@migupelo2</v>
      </c>
      <c r="C1207" s="8" t="s">
        <v>1976</v>
      </c>
      <c r="D1207" s="9" t="s">
        <v>2443</v>
      </c>
      <c r="E1207" s="10" t="str">
        <f>HYPERLINK("https://twitter.com/migupelo2/status/1071048977318068225","1071048977318068225")</f>
        <v>1071048977318068225</v>
      </c>
      <c r="F1207" s="12" t="s">
        <v>2444</v>
      </c>
      <c r="G1207" s="11"/>
      <c r="H1207" s="11"/>
      <c r="I1207" s="13">
        <v>0</v>
      </c>
      <c r="J1207" s="13">
        <v>0</v>
      </c>
      <c r="K1207" s="14" t="str">
        <f t="shared" si="216"/>
        <v>Twitter Web Client</v>
      </c>
      <c r="L1207" s="13">
        <v>266</v>
      </c>
      <c r="M1207" s="13">
        <v>771</v>
      </c>
      <c r="N1207" s="13">
        <v>18</v>
      </c>
      <c r="O1207" s="15"/>
      <c r="P1207" s="6">
        <v>40477.868043981478</v>
      </c>
      <c r="Q1207" s="11"/>
      <c r="R1207" s="19" t="s">
        <v>1980</v>
      </c>
      <c r="S1207" s="11"/>
      <c r="T1207" s="11"/>
      <c r="U1207" s="10" t="str">
        <f>HYPERLINK("https://pbs.twimg.com/profile_images/2906316440/4ed1570f50fd6f70f1b28d458997dd81.jpeg","View")</f>
        <v>View</v>
      </c>
    </row>
    <row r="1208" spans="1:21" ht="71.400000000000006">
      <c r="A1208" s="6">
        <v>43441.642997685187</v>
      </c>
      <c r="B1208" s="7" t="str">
        <f>HYPERLINK("https://twitter.com/mcargarin13","@mcargarin13")</f>
        <v>@mcargarin13</v>
      </c>
      <c r="C1208" s="8" t="s">
        <v>2448</v>
      </c>
      <c r="D1208" s="9" t="s">
        <v>2449</v>
      </c>
      <c r="E1208" s="10" t="str">
        <f>HYPERLINK("https://twitter.com/mcargarin13/status/1071048163061100544","1071048163061100544")</f>
        <v>1071048163061100544</v>
      </c>
      <c r="F1208" s="18" t="s">
        <v>2451</v>
      </c>
      <c r="G1208" s="11"/>
      <c r="H1208" s="11"/>
      <c r="I1208" s="13">
        <v>3</v>
      </c>
      <c r="J1208" s="13">
        <v>5</v>
      </c>
      <c r="K1208" s="14" t="str">
        <f>HYPERLINK("https://mobile.twitter.com","Twitter Lite")</f>
        <v>Twitter Lite</v>
      </c>
      <c r="L1208" s="13">
        <v>34</v>
      </c>
      <c r="M1208" s="13">
        <v>210</v>
      </c>
      <c r="N1208" s="13">
        <v>0</v>
      </c>
      <c r="O1208" s="15"/>
      <c r="P1208" s="6">
        <v>43436.526886574073</v>
      </c>
      <c r="Q1208" s="11"/>
      <c r="R1208" s="17"/>
      <c r="S1208" s="11"/>
      <c r="T1208" s="11"/>
      <c r="U1208" s="10" t="str">
        <f>HYPERLINK("https://pbs.twimg.com/profile_images/1069373219247964160/dh3Ow5gy.jpg","View")</f>
        <v>View</v>
      </c>
    </row>
    <row r="1209" spans="1:21" ht="40.799999999999997">
      <c r="A1209" s="6">
        <v>43441.642511574071</v>
      </c>
      <c r="B1209" s="7" t="str">
        <f>HYPERLINK("https://twitter.com/evandando10","@evandando10")</f>
        <v>@evandando10</v>
      </c>
      <c r="C1209" s="8" t="s">
        <v>5557</v>
      </c>
      <c r="D1209" s="9" t="s">
        <v>879</v>
      </c>
      <c r="E1209" s="10" t="str">
        <f>HYPERLINK("https://twitter.com/evandando10/status/1071047986782846976","1071047986782846976")</f>
        <v>1071047986782846976</v>
      </c>
      <c r="F1209" s="12" t="s">
        <v>881</v>
      </c>
      <c r="G1209" s="11"/>
      <c r="H1209" s="11"/>
      <c r="I1209" s="13">
        <v>0</v>
      </c>
      <c r="J1209" s="13">
        <v>0</v>
      </c>
      <c r="K1209" s="14" t="str">
        <f>HYPERLINK("https://buffer.com","Buffer")</f>
        <v>Buffer</v>
      </c>
      <c r="L1209" s="13">
        <v>5988</v>
      </c>
      <c r="M1209" s="13">
        <v>6878</v>
      </c>
      <c r="N1209" s="13">
        <v>33</v>
      </c>
      <c r="O1209" s="15"/>
      <c r="P1209" s="6">
        <v>42079.38453703704</v>
      </c>
      <c r="Q1209" s="11"/>
      <c r="R1209" s="19" t="s">
        <v>5558</v>
      </c>
      <c r="S1209" s="11"/>
      <c r="T1209" s="11"/>
      <c r="U1209" s="10" t="str">
        <f>HYPERLINK("https://pbs.twimg.com/profile_images/592954766373838849/spgpI58P.jpg","View")</f>
        <v>View</v>
      </c>
    </row>
    <row r="1210" spans="1:21" ht="61.2">
      <c r="A1210" s="6">
        <v>43441.642002314809</v>
      </c>
      <c r="B1210" s="7" t="str">
        <f>HYPERLINK("https://twitter.com/andresantheus","@andresantheus")</f>
        <v>@andresantheus</v>
      </c>
      <c r="C1210" s="8" t="s">
        <v>1778</v>
      </c>
      <c r="D1210" s="9" t="s">
        <v>2455</v>
      </c>
      <c r="E1210" s="10" t="str">
        <f>HYPERLINK("https://twitter.com/andresantheus/status/1071047799037419520","1071047799037419520")</f>
        <v>1071047799037419520</v>
      </c>
      <c r="F1210" s="11"/>
      <c r="G1210" s="11"/>
      <c r="H1210" s="11"/>
      <c r="I1210" s="13">
        <v>0</v>
      </c>
      <c r="J1210" s="13">
        <v>0</v>
      </c>
      <c r="K1210" s="14" t="str">
        <f>HYPERLINK("http://twitter.com","Twitter Web Client")</f>
        <v>Twitter Web Client</v>
      </c>
      <c r="L1210" s="13">
        <v>86</v>
      </c>
      <c r="M1210" s="13">
        <v>672</v>
      </c>
      <c r="N1210" s="13">
        <v>5</v>
      </c>
      <c r="O1210" s="15"/>
      <c r="P1210" s="6">
        <v>40801.721168981479</v>
      </c>
      <c r="Q1210" s="18" t="s">
        <v>1781</v>
      </c>
      <c r="R1210" s="19" t="s">
        <v>1782</v>
      </c>
      <c r="S1210" s="11"/>
      <c r="T1210" s="11"/>
      <c r="U1210" s="10" t="str">
        <f>HYPERLINK("https://pbs.twimg.com/profile_images/747500591061012480/qORAtf-h.jpg","View")</f>
        <v>View</v>
      </c>
    </row>
    <row r="1211" spans="1:21" ht="81.599999999999994">
      <c r="A1211" s="6">
        <v>43441.641435185185</v>
      </c>
      <c r="B1211" s="7" t="str">
        <f>HYPERLINK("https://twitter.com/C_ComisionEu","@C_ComisionEu")</f>
        <v>@C_ComisionEu</v>
      </c>
      <c r="C1211" s="8" t="s">
        <v>2457</v>
      </c>
      <c r="D1211" s="9" t="s">
        <v>2458</v>
      </c>
      <c r="E1211" s="10" t="str">
        <f>HYPERLINK("https://twitter.com/C_ComisionEu/status/1071047596028891137","1071047596028891137")</f>
        <v>1071047596028891137</v>
      </c>
      <c r="F1211" s="12" t="s">
        <v>2459</v>
      </c>
      <c r="G1211" s="12" t="s">
        <v>2460</v>
      </c>
      <c r="H1211" s="11"/>
      <c r="I1211" s="13">
        <v>0</v>
      </c>
      <c r="J1211" s="13">
        <v>0</v>
      </c>
      <c r="K1211" s="14" t="str">
        <f t="shared" ref="K1211:K1213" si="217">HYPERLINK("http://twitter.com/download/android","Twitter for Android")</f>
        <v>Twitter for Android</v>
      </c>
      <c r="L1211" s="13">
        <v>51</v>
      </c>
      <c r="M1211" s="13">
        <v>262</v>
      </c>
      <c r="N1211" s="13">
        <v>0</v>
      </c>
      <c r="O1211" s="15"/>
      <c r="P1211" s="6">
        <v>43215.778854166667</v>
      </c>
      <c r="Q1211" s="18" t="s">
        <v>41</v>
      </c>
      <c r="R1211" s="19" t="s">
        <v>2462</v>
      </c>
      <c r="S1211" s="12" t="s">
        <v>2463</v>
      </c>
      <c r="T1211" s="11"/>
      <c r="U1211" s="10" t="str">
        <f>HYPERLINK("https://pbs.twimg.com/profile_images/989186149653639169/gQyfJ2rh.jpg","View")</f>
        <v>View</v>
      </c>
    </row>
    <row r="1212" spans="1:21" ht="30.6">
      <c r="A1212" s="6">
        <v>43441.641041666662</v>
      </c>
      <c r="B1212" s="7" t="str">
        <f>HYPERLINK("https://twitter.com/Juan200363","@Juan200363")</f>
        <v>@Juan200363</v>
      </c>
      <c r="C1212" s="8" t="s">
        <v>1540</v>
      </c>
      <c r="D1212" s="9" t="s">
        <v>2465</v>
      </c>
      <c r="E1212" s="10" t="str">
        <f>HYPERLINK("https://twitter.com/Juan200363/status/1071047453330300933","1071047453330300933")</f>
        <v>1071047453330300933</v>
      </c>
      <c r="F1212" s="18" t="s">
        <v>2466</v>
      </c>
      <c r="G1212" s="11"/>
      <c r="H1212" s="11"/>
      <c r="I1212" s="13">
        <v>0</v>
      </c>
      <c r="J1212" s="13">
        <v>0</v>
      </c>
      <c r="K1212" s="14" t="str">
        <f t="shared" si="217"/>
        <v>Twitter for Android</v>
      </c>
      <c r="L1212" s="13">
        <v>2851</v>
      </c>
      <c r="M1212" s="13">
        <v>2598</v>
      </c>
      <c r="N1212" s="13">
        <v>4</v>
      </c>
      <c r="O1212" s="15"/>
      <c r="P1212" s="6">
        <v>40977.730636574073</v>
      </c>
      <c r="Q1212" s="18" t="s">
        <v>1958</v>
      </c>
      <c r="R1212" s="19" t="s">
        <v>1959</v>
      </c>
      <c r="S1212" s="12" t="s">
        <v>1960</v>
      </c>
      <c r="T1212" s="11"/>
      <c r="U1212" s="10" t="str">
        <f>HYPERLINK("https://pbs.twimg.com/profile_images/1066639785723392005/WiI5liwp.jpg","View")</f>
        <v>View</v>
      </c>
    </row>
    <row r="1213" spans="1:21" ht="51">
      <c r="A1213" s="6">
        <v>43441.641041666662</v>
      </c>
      <c r="B1213" s="7" t="str">
        <f>HYPERLINK("https://twitter.com/bobkomyns_","@bobkomyns_")</f>
        <v>@bobkomyns_</v>
      </c>
      <c r="C1213" s="8" t="s">
        <v>2467</v>
      </c>
      <c r="D1213" s="9" t="s">
        <v>2468</v>
      </c>
      <c r="E1213" s="10" t="str">
        <f>HYPERLINK("https://twitter.com/bobkomyns_/status/1071047452885696512","1071047452885696512")</f>
        <v>1071047452885696512</v>
      </c>
      <c r="F1213" s="11"/>
      <c r="G1213" s="11"/>
      <c r="H1213" s="11"/>
      <c r="I1213" s="13">
        <v>0</v>
      </c>
      <c r="J1213" s="13">
        <v>0</v>
      </c>
      <c r="K1213" s="14" t="str">
        <f t="shared" si="217"/>
        <v>Twitter for Android</v>
      </c>
      <c r="L1213" s="13">
        <v>146</v>
      </c>
      <c r="M1213" s="13">
        <v>363</v>
      </c>
      <c r="N1213" s="13">
        <v>5</v>
      </c>
      <c r="O1213" s="15"/>
      <c r="P1213" s="6">
        <v>41983.567800925928</v>
      </c>
      <c r="Q1213" s="18" t="s">
        <v>307</v>
      </c>
      <c r="R1213" s="19" t="s">
        <v>2471</v>
      </c>
      <c r="S1213" s="11"/>
      <c r="T1213" s="11"/>
      <c r="U1213" s="10" t="str">
        <f>HYPERLINK("https://pbs.twimg.com/profile_images/1042715681903570944/sUnbUTs-.jpg","View")</f>
        <v>View</v>
      </c>
    </row>
    <row r="1214" spans="1:21" ht="20.399999999999999">
      <c r="A1214" s="6">
        <v>43441.639861111107</v>
      </c>
      <c r="B1214" s="7" t="str">
        <f>HYPERLINK("https://twitter.com/albahacalhabla","@albahacalhabla")</f>
        <v>@albahacalhabla</v>
      </c>
      <c r="C1214" s="8" t="s">
        <v>5559</v>
      </c>
      <c r="D1214" s="9" t="s">
        <v>5560</v>
      </c>
      <c r="E1214" s="10" t="str">
        <f>HYPERLINK("https://twitter.com/albahacalhabla/status/1071047026668797952","1071047026668797952")</f>
        <v>1071047026668797952</v>
      </c>
      <c r="F1214" s="11"/>
      <c r="G1214" s="11"/>
      <c r="H1214" s="11"/>
      <c r="I1214" s="13">
        <v>0</v>
      </c>
      <c r="J1214" s="13">
        <v>0</v>
      </c>
      <c r="K1214" s="14" t="str">
        <f>HYPERLINK("http://twitter.com/download/iphone","Twitter for iPhone")</f>
        <v>Twitter for iPhone</v>
      </c>
      <c r="L1214" s="13">
        <v>269</v>
      </c>
      <c r="M1214" s="13">
        <v>313</v>
      </c>
      <c r="N1214" s="13">
        <v>0</v>
      </c>
      <c r="O1214" s="15"/>
      <c r="P1214" s="6">
        <v>41157.969861111109</v>
      </c>
      <c r="Q1214" s="11"/>
      <c r="R1214" s="19" t="s">
        <v>5561</v>
      </c>
      <c r="S1214" s="11"/>
      <c r="T1214" s="11"/>
      <c r="U1214" s="10" t="str">
        <f>HYPERLINK("https://pbs.twimg.com/profile_images/1054012677717217280/1I5tJBAL.jpg","View")</f>
        <v>View</v>
      </c>
    </row>
    <row r="1215" spans="1:21" ht="81.599999999999994">
      <c r="A1215" s="6">
        <v>43441.639710648145</v>
      </c>
      <c r="B1215" s="7" t="str">
        <f>HYPERLINK("https://twitter.com/cmartinez_66","@cmartinez_66")</f>
        <v>@cmartinez_66</v>
      </c>
      <c r="C1215" s="8" t="s">
        <v>5562</v>
      </c>
      <c r="D1215" s="9" t="s">
        <v>5563</v>
      </c>
      <c r="E1215" s="10" t="str">
        <f>HYPERLINK("https://twitter.com/cmartinez_66/status/1071046971031515137","1071046971031515137")</f>
        <v>1071046971031515137</v>
      </c>
      <c r="F1215" s="18" t="s">
        <v>5564</v>
      </c>
      <c r="G1215" s="11"/>
      <c r="H1215" s="11"/>
      <c r="I1215" s="13">
        <v>9</v>
      </c>
      <c r="J1215" s="13">
        <v>9</v>
      </c>
      <c r="K1215" s="14" t="str">
        <f>HYPERLINK("http://twitter.com/#!/download/ipad","Twitter for iPad")</f>
        <v>Twitter for iPad</v>
      </c>
      <c r="L1215" s="13">
        <v>369</v>
      </c>
      <c r="M1215" s="13">
        <v>592</v>
      </c>
      <c r="N1215" s="13">
        <v>3</v>
      </c>
      <c r="O1215" s="15"/>
      <c r="P1215" s="6">
        <v>40841.002662037034</v>
      </c>
      <c r="Q1215" s="18" t="s">
        <v>5565</v>
      </c>
      <c r="R1215" s="19" t="s">
        <v>5566</v>
      </c>
      <c r="S1215" s="11"/>
      <c r="T1215" s="11"/>
      <c r="U1215" s="10" t="str">
        <f>HYPERLINK("https://pbs.twimg.com/profile_images/903544815366934528/YiSZIj4R.jpg","View")</f>
        <v>View</v>
      </c>
    </row>
    <row r="1216" spans="1:21" ht="112.2">
      <c r="A1216" s="6">
        <v>43441.638333333336</v>
      </c>
      <c r="B1216" s="7" t="str">
        <f>HYPERLINK("https://twitter.com/jeronimoaznar","@jeronimoaznar")</f>
        <v>@jeronimoaznar</v>
      </c>
      <c r="C1216" s="8" t="s">
        <v>2156</v>
      </c>
      <c r="D1216" s="9" t="s">
        <v>2474</v>
      </c>
      <c r="E1216" s="10" t="str">
        <f>HYPERLINK("https://twitter.com/jeronimoaznar/status/1071046469975728128","1071046469975728128")</f>
        <v>1071046469975728128</v>
      </c>
      <c r="F1216" s="12" t="s">
        <v>2475</v>
      </c>
      <c r="G1216" s="11"/>
      <c r="H1216" s="11"/>
      <c r="I1216" s="13">
        <v>15</v>
      </c>
      <c r="J1216" s="13">
        <v>13</v>
      </c>
      <c r="K1216" s="14" t="str">
        <f>HYPERLINK("http://twitter.com/download/android","Twitter for Android")</f>
        <v>Twitter for Android</v>
      </c>
      <c r="L1216" s="13">
        <v>59</v>
      </c>
      <c r="M1216" s="13">
        <v>99</v>
      </c>
      <c r="N1216" s="13">
        <v>0</v>
      </c>
      <c r="O1216" s="15"/>
      <c r="P1216" s="6">
        <v>40599.709803240738</v>
      </c>
      <c r="Q1216" s="18" t="s">
        <v>1430</v>
      </c>
      <c r="R1216" s="17"/>
      <c r="S1216" s="11"/>
      <c r="T1216" s="11"/>
      <c r="U1216" s="10" t="str">
        <f>HYPERLINK("https://pbs.twimg.com/profile_images/1067748687265316864/jfTgUoYF.jpg","View")</f>
        <v>View</v>
      </c>
    </row>
    <row r="1217" spans="1:21" ht="71.400000000000006">
      <c r="A1217" s="6">
        <v>43441.638240740736</v>
      </c>
      <c r="B1217" s="7" t="str">
        <f>HYPERLINK("https://twitter.com/ProfSTornasol","@ProfSTornasol")</f>
        <v>@ProfSTornasol</v>
      </c>
      <c r="C1217" s="8" t="s">
        <v>2478</v>
      </c>
      <c r="D1217" s="9" t="s">
        <v>2479</v>
      </c>
      <c r="E1217" s="10" t="str">
        <f>HYPERLINK("https://twitter.com/ProfSTornasol/status/1071046436081623041","1071046436081623041")</f>
        <v>1071046436081623041</v>
      </c>
      <c r="F1217" s="12" t="s">
        <v>2482</v>
      </c>
      <c r="G1217" s="12" t="s">
        <v>2483</v>
      </c>
      <c r="H1217" s="11"/>
      <c r="I1217" s="13">
        <v>0</v>
      </c>
      <c r="J1217" s="13">
        <v>0</v>
      </c>
      <c r="K1217" s="14" t="str">
        <f>HYPERLINK("http://twitter.com/download/iphone","Twitter for iPhone")</f>
        <v>Twitter for iPhone</v>
      </c>
      <c r="L1217" s="13">
        <v>266</v>
      </c>
      <c r="M1217" s="13">
        <v>412</v>
      </c>
      <c r="N1217" s="13">
        <v>2</v>
      </c>
      <c r="O1217" s="15"/>
      <c r="P1217" s="6">
        <v>41245.775659722218</v>
      </c>
      <c r="Q1217" s="18" t="s">
        <v>42</v>
      </c>
      <c r="R1217" s="19" t="s">
        <v>2485</v>
      </c>
      <c r="S1217" s="11"/>
      <c r="T1217" s="11"/>
      <c r="U1217" s="10" t="str">
        <f>HYPERLINK("https://pbs.twimg.com/profile_images/1021899848369491968/zk6vtjPC.jpg","View")</f>
        <v>View</v>
      </c>
    </row>
    <row r="1218" spans="1:21" ht="40.799999999999997">
      <c r="A1218" s="6">
        <v>43441.637708333335</v>
      </c>
      <c r="B1218" s="7" t="str">
        <f>HYPERLINK("https://twitter.com/mccluskey2001","@mccluskey2001")</f>
        <v>@mccluskey2001</v>
      </c>
      <c r="C1218" s="8" t="s">
        <v>2490</v>
      </c>
      <c r="D1218" s="9" t="s">
        <v>2491</v>
      </c>
      <c r="E1218" s="10" t="str">
        <f>HYPERLINK("https://twitter.com/mccluskey2001/status/1071046244263477248","1071046244263477248")</f>
        <v>1071046244263477248</v>
      </c>
      <c r="F1218" s="11"/>
      <c r="G1218" s="11"/>
      <c r="H1218" s="11"/>
      <c r="I1218" s="13">
        <v>0</v>
      </c>
      <c r="J1218" s="13">
        <v>0</v>
      </c>
      <c r="K1218" s="14" t="str">
        <f t="shared" ref="K1218:K1219" si="218">HYPERLINK("http://twitter.com","Twitter Web Client")</f>
        <v>Twitter Web Client</v>
      </c>
      <c r="L1218" s="13">
        <v>288</v>
      </c>
      <c r="M1218" s="13">
        <v>614</v>
      </c>
      <c r="N1218" s="13">
        <v>3</v>
      </c>
      <c r="O1218" s="15"/>
      <c r="P1218" s="6">
        <v>41588.818645833337</v>
      </c>
      <c r="Q1218" s="18" t="s">
        <v>2494</v>
      </c>
      <c r="R1218" s="17"/>
      <c r="S1218" s="11"/>
      <c r="T1218" s="11"/>
      <c r="U1218" s="10" t="str">
        <f>HYPERLINK("https://pbs.twimg.com/profile_images/1057193747711123456/LQx0nUxW.jpg","View")</f>
        <v>View</v>
      </c>
    </row>
    <row r="1219" spans="1:21" ht="51">
      <c r="A1219" s="6">
        <v>43441.636435185181</v>
      </c>
      <c r="B1219" s="7" t="str">
        <f>HYPERLINK("https://twitter.com/Chstrton","@Chstrton")</f>
        <v>@Chstrton</v>
      </c>
      <c r="C1219" s="8" t="s">
        <v>5567</v>
      </c>
      <c r="D1219" s="9" t="s">
        <v>5568</v>
      </c>
      <c r="E1219" s="10" t="str">
        <f>HYPERLINK("https://twitter.com/Chstrton/status/1071045783074545669","1071045783074545669")</f>
        <v>1071045783074545669</v>
      </c>
      <c r="F1219" s="11"/>
      <c r="G1219" s="11"/>
      <c r="H1219" s="11"/>
      <c r="I1219" s="13">
        <v>0</v>
      </c>
      <c r="J1219" s="13">
        <v>0</v>
      </c>
      <c r="K1219" s="14" t="str">
        <f t="shared" si="218"/>
        <v>Twitter Web Client</v>
      </c>
      <c r="L1219" s="13">
        <v>867</v>
      </c>
      <c r="M1219" s="13">
        <v>1440</v>
      </c>
      <c r="N1219" s="13">
        <v>12</v>
      </c>
      <c r="O1219" s="15"/>
      <c r="P1219" s="6">
        <v>40621.855266203704</v>
      </c>
      <c r="Q1219" s="18" t="s">
        <v>5569</v>
      </c>
      <c r="R1219" s="19" t="s">
        <v>5570</v>
      </c>
      <c r="S1219" s="11"/>
      <c r="T1219" s="11"/>
      <c r="U1219" s="10" t="str">
        <f>HYPERLINK("https://pbs.twimg.com/profile_images/879812675567575040/MwA1_wFL.jpg","View")</f>
        <v>View</v>
      </c>
    </row>
    <row r="1220" spans="1:21" ht="40.799999999999997">
      <c r="A1220" s="6">
        <v>43441.636273148149</v>
      </c>
      <c r="B1220" s="7" t="str">
        <f>HYPERLINK("https://twitter.com/jmra1962","@jmra1962")</f>
        <v>@jmra1962</v>
      </c>
      <c r="C1220" s="8" t="s">
        <v>5571</v>
      </c>
      <c r="D1220" s="9" t="s">
        <v>5572</v>
      </c>
      <c r="E1220" s="10" t="str">
        <f>HYPERLINK("https://twitter.com/jmra1962/status/1071045725612593154","1071045725612593154")</f>
        <v>1071045725612593154</v>
      </c>
      <c r="F1220" s="12" t="s">
        <v>5573</v>
      </c>
      <c r="G1220" s="11"/>
      <c r="H1220" s="11"/>
      <c r="I1220" s="13">
        <v>0</v>
      </c>
      <c r="J1220" s="13">
        <v>0</v>
      </c>
      <c r="K1220" s="14" t="str">
        <f>HYPERLINK("http://twitter.com/download/android","Twitter for Android")</f>
        <v>Twitter for Android</v>
      </c>
      <c r="L1220" s="13">
        <v>46</v>
      </c>
      <c r="M1220" s="13">
        <v>474</v>
      </c>
      <c r="N1220" s="13">
        <v>1</v>
      </c>
      <c r="O1220" s="15"/>
      <c r="P1220" s="6">
        <v>40708.419768518521</v>
      </c>
      <c r="Q1220" s="18" t="s">
        <v>404</v>
      </c>
      <c r="R1220" s="19" t="s">
        <v>5574</v>
      </c>
      <c r="S1220" s="11"/>
      <c r="T1220" s="11"/>
      <c r="U1220" s="10" t="str">
        <f>HYPERLINK("https://pbs.twimg.com/profile_images/3543070297/6430e6fe9d8d8886aba8be86b2dea231.jpeg","View")</f>
        <v>View</v>
      </c>
    </row>
    <row r="1221" spans="1:21" ht="30.6">
      <c r="A1221" s="6">
        <v>43441.636099537034</v>
      </c>
      <c r="B1221" s="7" t="str">
        <f>HYPERLINK("https://twitter.com/Albert_Foxxx","@Albert_Foxxx")</f>
        <v>@Albert_Foxxx</v>
      </c>
      <c r="C1221" s="8" t="s">
        <v>5575</v>
      </c>
      <c r="D1221" s="9" t="s">
        <v>5576</v>
      </c>
      <c r="E1221" s="10" t="str">
        <f>HYPERLINK("https://twitter.com/Albert_Foxxx/status/1071045663310397447","1071045663310397447")</f>
        <v>1071045663310397447</v>
      </c>
      <c r="F1221" s="11"/>
      <c r="G1221" s="11"/>
      <c r="H1221" s="11"/>
      <c r="I1221" s="13">
        <v>0</v>
      </c>
      <c r="J1221" s="13">
        <v>0</v>
      </c>
      <c r="K1221" s="14" t="str">
        <f>HYPERLINK("http://twitter.com","Twitter Web Client")</f>
        <v>Twitter Web Client</v>
      </c>
      <c r="L1221" s="13">
        <v>2130</v>
      </c>
      <c r="M1221" s="13">
        <v>4992</v>
      </c>
      <c r="N1221" s="13">
        <v>30</v>
      </c>
      <c r="O1221" s="15"/>
      <c r="P1221" s="6">
        <v>40814.788912037038</v>
      </c>
      <c r="Q1221" s="18" t="s">
        <v>1379</v>
      </c>
      <c r="R1221" s="19" t="s">
        <v>5577</v>
      </c>
      <c r="S1221" s="11"/>
      <c r="T1221" s="11"/>
      <c r="U1221" s="10" t="str">
        <f>HYPERLINK("https://pbs.twimg.com/profile_images/1010547135136362496/i61LPDSG.jpg","View")</f>
        <v>View</v>
      </c>
    </row>
    <row r="1222" spans="1:21" ht="30.6">
      <c r="A1222" s="6">
        <v>43441.635648148149</v>
      </c>
      <c r="B1222" s="7" t="str">
        <f>HYPERLINK("https://twitter.com/MARIAJ_SALADO","@MARIAJ_SALADO")</f>
        <v>@MARIAJ_SALADO</v>
      </c>
      <c r="C1222" s="8" t="s">
        <v>5578</v>
      </c>
      <c r="D1222" s="9" t="s">
        <v>5579</v>
      </c>
      <c r="E1222" s="10" t="str">
        <f>HYPERLINK("https://twitter.com/MARIAJ_SALADO/status/1071045497304031233","1071045497304031233")</f>
        <v>1071045497304031233</v>
      </c>
      <c r="F1222" s="12" t="s">
        <v>5109</v>
      </c>
      <c r="G1222" s="11"/>
      <c r="H1222" s="11"/>
      <c r="I1222" s="13">
        <v>1</v>
      </c>
      <c r="J1222" s="13">
        <v>0</v>
      </c>
      <c r="K1222" s="14" t="str">
        <f>HYPERLINK("http://www.crowdfireapp.com","Crowdfire - Go Big")</f>
        <v>Crowdfire - Go Big</v>
      </c>
      <c r="L1222" s="13">
        <v>6912</v>
      </c>
      <c r="M1222" s="13">
        <v>3075</v>
      </c>
      <c r="N1222" s="13">
        <v>84</v>
      </c>
      <c r="O1222" s="15"/>
      <c r="P1222" s="6">
        <v>40721.614363425928</v>
      </c>
      <c r="Q1222" s="18" t="s">
        <v>5580</v>
      </c>
      <c r="R1222" s="19" t="s">
        <v>5581</v>
      </c>
      <c r="S1222" s="11"/>
      <c r="T1222" s="11"/>
      <c r="U1222" s="10" t="str">
        <f>HYPERLINK("https://pbs.twimg.com/profile_images/1001117315566637056/7n7Si_YN.jpg","View")</f>
        <v>View</v>
      </c>
    </row>
    <row r="1223" spans="1:21" ht="30.6">
      <c r="A1223" s="6">
        <v>43441.635474537034</v>
      </c>
      <c r="B1223" s="7" t="str">
        <f>HYPERLINK("https://twitter.com/quediario","@quediario")</f>
        <v>@quediario</v>
      </c>
      <c r="C1223" s="8" t="s">
        <v>1854</v>
      </c>
      <c r="D1223" s="9" t="s">
        <v>5582</v>
      </c>
      <c r="E1223" s="10" t="str">
        <f>HYPERLINK("https://twitter.com/quediario/status/1071045436423704577","1071045436423704577")</f>
        <v>1071045436423704577</v>
      </c>
      <c r="F1223" s="12" t="s">
        <v>1858</v>
      </c>
      <c r="G1223" s="11"/>
      <c r="H1223" s="11"/>
      <c r="I1223" s="13">
        <v>1</v>
      </c>
      <c r="J1223" s="13">
        <v>2</v>
      </c>
      <c r="K1223" s="14" t="str">
        <f>HYPERLINK("https://www.hootsuite.com","Hootsuite Inc.")</f>
        <v>Hootsuite Inc.</v>
      </c>
      <c r="L1223" s="13">
        <v>42127</v>
      </c>
      <c r="M1223" s="13">
        <v>19449</v>
      </c>
      <c r="N1223" s="13">
        <v>902</v>
      </c>
      <c r="O1223" s="16" t="s">
        <v>25</v>
      </c>
      <c r="P1223" s="6">
        <v>39904.468252314815</v>
      </c>
      <c r="Q1223" s="18" t="s">
        <v>100</v>
      </c>
      <c r="R1223" s="19" t="s">
        <v>1861</v>
      </c>
      <c r="S1223" s="12" t="s">
        <v>1862</v>
      </c>
      <c r="T1223" s="11"/>
      <c r="U1223" s="10" t="str">
        <f>HYPERLINK("https://pbs.twimg.com/profile_images/921305149435465728/fPbLkA-k.jpg","View")</f>
        <v>View</v>
      </c>
    </row>
    <row r="1224" spans="1:21" ht="91.8">
      <c r="A1224" s="6">
        <v>43441.635324074072</v>
      </c>
      <c r="B1224" s="7" t="str">
        <f>HYPERLINK("https://twitter.com/SoyTuAzote","@SoyTuAzote")</f>
        <v>@SoyTuAzote</v>
      </c>
      <c r="C1224" s="8" t="s">
        <v>1888</v>
      </c>
      <c r="D1224" s="9" t="s">
        <v>2498</v>
      </c>
      <c r="E1224" s="10" t="str">
        <f>HYPERLINK("https://twitter.com/SoyTuAzote/status/1071045380484358150","1071045380484358150")</f>
        <v>1071045380484358150</v>
      </c>
      <c r="F1224" s="12" t="s">
        <v>2499</v>
      </c>
      <c r="G1224" s="12" t="s">
        <v>2500</v>
      </c>
      <c r="H1224" s="11"/>
      <c r="I1224" s="13">
        <v>0</v>
      </c>
      <c r="J1224" s="13">
        <v>0</v>
      </c>
      <c r="K1224" s="14" t="str">
        <f>HYPERLINK("http://twitter.com/download/iphone","Twitter for iPhone")</f>
        <v>Twitter for iPhone</v>
      </c>
      <c r="L1224" s="13">
        <v>197</v>
      </c>
      <c r="M1224" s="13">
        <v>407</v>
      </c>
      <c r="N1224" s="13">
        <v>7</v>
      </c>
      <c r="O1224" s="15"/>
      <c r="P1224" s="6">
        <v>42352.43613425926</v>
      </c>
      <c r="Q1224" s="18" t="s">
        <v>1892</v>
      </c>
      <c r="R1224" s="19" t="s">
        <v>1893</v>
      </c>
      <c r="S1224" s="11"/>
      <c r="T1224" s="11"/>
      <c r="U1224" s="10" t="str">
        <f>HYPERLINK("https://pbs.twimg.com/profile_images/676333853850656768/mqwp5UvF.jpg","View")</f>
        <v>View</v>
      </c>
    </row>
    <row r="1225" spans="1:21" ht="61.2">
      <c r="A1225" s="6">
        <v>43441.635069444441</v>
      </c>
      <c r="B1225" s="7" t="str">
        <f>HYPERLINK("https://twitter.com/Albert_Foxxx","@Albert_Foxxx")</f>
        <v>@Albert_Foxxx</v>
      </c>
      <c r="C1225" s="8" t="s">
        <v>5575</v>
      </c>
      <c r="D1225" s="21" t="s">
        <v>5583</v>
      </c>
      <c r="E1225" s="10" t="str">
        <f>HYPERLINK("https://twitter.com/Albert_Foxxx/status/1071045289371410434","1071045289371410434")</f>
        <v>1071045289371410434</v>
      </c>
      <c r="F1225" s="18" t="s">
        <v>5584</v>
      </c>
      <c r="G1225" s="12" t="s">
        <v>5585</v>
      </c>
      <c r="H1225" s="11"/>
      <c r="I1225" s="13">
        <v>2</v>
      </c>
      <c r="J1225" s="13">
        <v>1</v>
      </c>
      <c r="K1225" s="14" t="str">
        <f>HYPERLINK("http://twitter.com","Twitter Web Client")</f>
        <v>Twitter Web Client</v>
      </c>
      <c r="L1225" s="13">
        <v>2130</v>
      </c>
      <c r="M1225" s="13">
        <v>4992</v>
      </c>
      <c r="N1225" s="13">
        <v>30</v>
      </c>
      <c r="O1225" s="15"/>
      <c r="P1225" s="6">
        <v>40814.788912037038</v>
      </c>
      <c r="Q1225" s="18" t="s">
        <v>1379</v>
      </c>
      <c r="R1225" s="19" t="s">
        <v>5577</v>
      </c>
      <c r="S1225" s="11"/>
      <c r="T1225" s="11"/>
      <c r="U1225" s="10" t="str">
        <f>HYPERLINK("https://pbs.twimg.com/profile_images/1010547135136362496/i61LPDSG.jpg","View")</f>
        <v>View</v>
      </c>
    </row>
    <row r="1226" spans="1:21" ht="91.8">
      <c r="A1226" s="6">
        <v>43441.632326388892</v>
      </c>
      <c r="B1226" s="7" t="str">
        <f>HYPERLINK("https://twitter.com/elviejotaurino","@elviejotaurino")</f>
        <v>@elviejotaurino</v>
      </c>
      <c r="C1226" s="8" t="s">
        <v>2501</v>
      </c>
      <c r="D1226" s="9" t="s">
        <v>2504</v>
      </c>
      <c r="E1226" s="10" t="str">
        <f>HYPERLINK("https://twitter.com/elviejotaurino/status/1071044294646083584","1071044294646083584")</f>
        <v>1071044294646083584</v>
      </c>
      <c r="F1226" s="12" t="s">
        <v>734</v>
      </c>
      <c r="G1226" s="12" t="s">
        <v>735</v>
      </c>
      <c r="H1226" s="11"/>
      <c r="I1226" s="13">
        <v>1</v>
      </c>
      <c r="J1226" s="13">
        <v>1</v>
      </c>
      <c r="K1226" s="14" t="str">
        <f>HYPERLINK("http://twitter.com/download/iphone","Twitter for iPhone")</f>
        <v>Twitter for iPhone</v>
      </c>
      <c r="L1226" s="13">
        <v>1829</v>
      </c>
      <c r="M1226" s="13">
        <v>593</v>
      </c>
      <c r="N1226" s="13">
        <v>13</v>
      </c>
      <c r="O1226" s="15"/>
      <c r="P1226" s="6">
        <v>41295.778587962966</v>
      </c>
      <c r="Q1226" s="11"/>
      <c r="R1226" s="19" t="s">
        <v>2507</v>
      </c>
      <c r="S1226" s="11"/>
      <c r="T1226" s="11"/>
      <c r="U1226" s="10" t="str">
        <f>HYPERLINK("https://pbs.twimg.com/profile_images/3144357059/031cd3d49fcb2a84ee1695b8c5bf64e6.jpeg","View")</f>
        <v>View</v>
      </c>
    </row>
    <row r="1227" spans="1:21" ht="40.799999999999997">
      <c r="A1227" s="6">
        <v>43441.632106481484</v>
      </c>
      <c r="B1227" s="7" t="str">
        <f>HYPERLINK("https://twitter.com/cuidaditoconla1","@cuidaditoconla1")</f>
        <v>@cuidaditoconla1</v>
      </c>
      <c r="C1227" s="8" t="s">
        <v>2510</v>
      </c>
      <c r="D1227" s="9" t="s">
        <v>2511</v>
      </c>
      <c r="E1227" s="10" t="str">
        <f>HYPERLINK("https://twitter.com/cuidaditoconla1/status/1071044212702003200","1071044212702003200")</f>
        <v>1071044212702003200</v>
      </c>
      <c r="F1227" s="12" t="s">
        <v>2513</v>
      </c>
      <c r="G1227" s="11"/>
      <c r="H1227" s="11"/>
      <c r="I1227" s="13">
        <v>1</v>
      </c>
      <c r="J1227" s="13">
        <v>0</v>
      </c>
      <c r="K1227" s="14" t="str">
        <f t="shared" ref="K1227:K1228" si="219">HYPERLINK("http://twitter.com/download/android","Twitter for Android")</f>
        <v>Twitter for Android</v>
      </c>
      <c r="L1227" s="13">
        <v>995</v>
      </c>
      <c r="M1227" s="13">
        <v>1041</v>
      </c>
      <c r="N1227" s="13">
        <v>4</v>
      </c>
      <c r="O1227" s="15"/>
      <c r="P1227" s="6">
        <v>42129.520150462966</v>
      </c>
      <c r="Q1227" s="18" t="s">
        <v>2514</v>
      </c>
      <c r="R1227" s="19" t="s">
        <v>2515</v>
      </c>
      <c r="S1227" s="11"/>
      <c r="T1227" s="11"/>
      <c r="U1227" s="10" t="str">
        <f>HYPERLINK("https://pbs.twimg.com/profile_images/1046748854056611840/2sVthHEy.jpg","View")</f>
        <v>View</v>
      </c>
    </row>
    <row r="1228" spans="1:21" ht="81.599999999999994">
      <c r="A1228" s="6">
        <v>43441.631342592591</v>
      </c>
      <c r="B1228" s="7" t="str">
        <f>HYPERLINK("https://twitter.com/chakootin","@chakootin")</f>
        <v>@chakootin</v>
      </c>
      <c r="C1228" s="8" t="s">
        <v>5586</v>
      </c>
      <c r="D1228" s="9" t="s">
        <v>5587</v>
      </c>
      <c r="E1228" s="10" t="str">
        <f>HYPERLINK("https://twitter.com/chakootin/status/1071043938591621120","1071043938591621120")</f>
        <v>1071043938591621120</v>
      </c>
      <c r="F1228" s="18" t="s">
        <v>5258</v>
      </c>
      <c r="G1228" s="11"/>
      <c r="H1228" s="11"/>
      <c r="I1228" s="13">
        <v>0</v>
      </c>
      <c r="J1228" s="13">
        <v>0</v>
      </c>
      <c r="K1228" s="14" t="str">
        <f t="shared" si="219"/>
        <v>Twitter for Android</v>
      </c>
      <c r="L1228" s="13">
        <v>127</v>
      </c>
      <c r="M1228" s="13">
        <v>166</v>
      </c>
      <c r="N1228" s="13">
        <v>6</v>
      </c>
      <c r="O1228" s="15"/>
      <c r="P1228" s="6">
        <v>40931.70144675926</v>
      </c>
      <c r="Q1228" s="18" t="s">
        <v>5020</v>
      </c>
      <c r="R1228" s="19" t="s">
        <v>5588</v>
      </c>
      <c r="S1228" s="11"/>
      <c r="T1228" s="11"/>
      <c r="U1228" s="10" t="str">
        <f>HYPERLINK("https://pbs.twimg.com/profile_images/378800000763525332/afd3ce7d16124fa51a04249dce03e221.png","View")</f>
        <v>View</v>
      </c>
    </row>
    <row r="1229" spans="1:21" ht="40.799999999999997">
      <c r="A1229" s="6">
        <v>43441.631273148145</v>
      </c>
      <c r="B1229" s="7" t="str">
        <f>HYPERLINK("https://twitter.com/trancan92486565","@trancan92486565")</f>
        <v>@trancan92486565</v>
      </c>
      <c r="C1229" s="8" t="s">
        <v>265</v>
      </c>
      <c r="D1229" s="9" t="s">
        <v>5589</v>
      </c>
      <c r="E1229" s="10" t="str">
        <f>HYPERLINK("https://twitter.com/trancan92486565/status/1071043910997368838","1071043910997368838")</f>
        <v>1071043910997368838</v>
      </c>
      <c r="F1229" s="12" t="s">
        <v>268</v>
      </c>
      <c r="G1229" s="11"/>
      <c r="H1229" s="11"/>
      <c r="I1229" s="13">
        <v>0</v>
      </c>
      <c r="J1229" s="13">
        <v>0</v>
      </c>
      <c r="K1229" s="14" t="str">
        <f>HYPERLINK("https://www.google.com/","Google")</f>
        <v>Google</v>
      </c>
      <c r="L1229" s="13">
        <v>4</v>
      </c>
      <c r="M1229" s="13">
        <v>11</v>
      </c>
      <c r="N1229" s="13">
        <v>0</v>
      </c>
      <c r="O1229" s="15"/>
      <c r="P1229" s="6">
        <v>43017.648888888885</v>
      </c>
      <c r="Q1229" s="18" t="s">
        <v>271</v>
      </c>
      <c r="R1229" s="19" t="s">
        <v>272</v>
      </c>
      <c r="S1229" s="12" t="s">
        <v>273</v>
      </c>
      <c r="T1229" s="11"/>
      <c r="U1229" s="10" t="str">
        <f>HYPERLINK("https://pbs.twimg.com/profile_images/917383125419704331/5l2pJCL9.jpg","View")</f>
        <v>View</v>
      </c>
    </row>
    <row r="1230" spans="1:21" ht="30.6">
      <c r="A1230" s="6">
        <v>43441.630925925929</v>
      </c>
      <c r="B1230" s="7" t="str">
        <f>HYPERLINK("https://twitter.com/eduardoinda","@eduardoinda")</f>
        <v>@eduardoinda</v>
      </c>
      <c r="C1230" s="8" t="s">
        <v>2516</v>
      </c>
      <c r="D1230" s="9" t="s">
        <v>2517</v>
      </c>
      <c r="E1230" s="10" t="str">
        <f>HYPERLINK("https://twitter.com/eduardoinda/status/1071043787064000512","1071043787064000512")</f>
        <v>1071043787064000512</v>
      </c>
      <c r="F1230" s="12" t="s">
        <v>2519</v>
      </c>
      <c r="G1230" s="11"/>
      <c r="H1230" s="11"/>
      <c r="I1230" s="13">
        <v>117</v>
      </c>
      <c r="J1230" s="13">
        <v>142</v>
      </c>
      <c r="K1230" s="14" t="str">
        <f>HYPERLINK("https://www.echobox.com","Echobox Social")</f>
        <v>Echobox Social</v>
      </c>
      <c r="L1230" s="13">
        <v>87225</v>
      </c>
      <c r="M1230" s="13">
        <v>136</v>
      </c>
      <c r="N1230" s="13">
        <v>649</v>
      </c>
      <c r="O1230" s="16" t="s">
        <v>25</v>
      </c>
      <c r="P1230" s="6">
        <v>42412.515844907408</v>
      </c>
      <c r="Q1230" s="11"/>
      <c r="R1230" s="19" t="s">
        <v>2521</v>
      </c>
      <c r="S1230" s="12" t="s">
        <v>2522</v>
      </c>
      <c r="T1230" s="11"/>
      <c r="U1230" s="10" t="str">
        <f>HYPERLINK("https://pbs.twimg.com/profile_images/698106393526722560/hA9Itqr5.jpg","View")</f>
        <v>View</v>
      </c>
    </row>
    <row r="1231" spans="1:21" ht="20.399999999999999">
      <c r="A1231" s="6">
        <v>43441.630925925929</v>
      </c>
      <c r="B1231" s="7" t="str">
        <f>HYPERLINK("https://twitter.com/MGallardo1978","@MGallardo1978")</f>
        <v>@MGallardo1978</v>
      </c>
      <c r="C1231" s="8" t="s">
        <v>5590</v>
      </c>
      <c r="D1231" s="9" t="s">
        <v>2160</v>
      </c>
      <c r="E1231" s="10" t="str">
        <f>HYPERLINK("https://twitter.com/MGallardo1978/status/1071043785046528000","1071043785046528000")</f>
        <v>1071043785046528000</v>
      </c>
      <c r="F1231" s="12" t="s">
        <v>2161</v>
      </c>
      <c r="G1231" s="11"/>
      <c r="H1231" s="11"/>
      <c r="I1231" s="13">
        <v>0</v>
      </c>
      <c r="J1231" s="13">
        <v>0</v>
      </c>
      <c r="K1231" s="14" t="str">
        <f>HYPERLINK("http://twitter.com/download/android","Twitter for Android")</f>
        <v>Twitter for Android</v>
      </c>
      <c r="L1231" s="13">
        <v>618</v>
      </c>
      <c r="M1231" s="13">
        <v>889</v>
      </c>
      <c r="N1231" s="13">
        <v>49</v>
      </c>
      <c r="O1231" s="15"/>
      <c r="P1231" s="6">
        <v>40640.523761574077</v>
      </c>
      <c r="Q1231" s="18" t="s">
        <v>2020</v>
      </c>
      <c r="R1231" s="19" t="s">
        <v>5591</v>
      </c>
      <c r="S1231" s="11"/>
      <c r="T1231" s="11"/>
      <c r="U1231" s="10" t="str">
        <f>HYPERLINK("https://pbs.twimg.com/profile_images/1050447666822434816/M4-MJedX.jpg","View")</f>
        <v>View</v>
      </c>
    </row>
    <row r="1232" spans="1:21" ht="40.799999999999997">
      <c r="A1232" s="6">
        <v>43441.629560185189</v>
      </c>
      <c r="B1232" s="7" t="str">
        <f>HYPERLINK("https://twitter.com/ATLANTE_NACHEL","@ATLANTE_NACHEL")</f>
        <v>@ATLANTE_NACHEL</v>
      </c>
      <c r="C1232" s="8" t="s">
        <v>2245</v>
      </c>
      <c r="D1232" s="9" t="s">
        <v>5592</v>
      </c>
      <c r="E1232" s="10" t="str">
        <f>HYPERLINK("https://twitter.com/ATLANTE_NACHEL/status/1071043290496151554","1071043290496151554")</f>
        <v>1071043290496151554</v>
      </c>
      <c r="F1232" s="12" t="s">
        <v>5593</v>
      </c>
      <c r="G1232" s="11"/>
      <c r="H1232" s="11"/>
      <c r="I1232" s="13">
        <v>0</v>
      </c>
      <c r="J1232" s="13">
        <v>0</v>
      </c>
      <c r="K1232" s="14" t="str">
        <f>HYPERLINK("https://www.google.com/","Google")</f>
        <v>Google</v>
      </c>
      <c r="L1232" s="13">
        <v>302</v>
      </c>
      <c r="M1232" s="13">
        <v>1228</v>
      </c>
      <c r="N1232" s="13">
        <v>4</v>
      </c>
      <c r="O1232" s="15"/>
      <c r="P1232" s="6">
        <v>40519.708541666667</v>
      </c>
      <c r="Q1232" s="18" t="s">
        <v>1682</v>
      </c>
      <c r="R1232" s="19" t="s">
        <v>2250</v>
      </c>
      <c r="S1232" s="12" t="s">
        <v>2251</v>
      </c>
      <c r="T1232" s="11"/>
      <c r="U1232" s="10" t="str">
        <f>HYPERLINK("https://pbs.twimg.com/profile_images/1184878778/fototierra.jpg","View")</f>
        <v>View</v>
      </c>
    </row>
    <row r="1233" spans="1:21" ht="30.6">
      <c r="A1233" s="6">
        <v>43441.629525462966</v>
      </c>
      <c r="B1233" s="7" t="str">
        <f>HYPERLINK("https://twitter.com/ManuelReiz","@ManuelReiz")</f>
        <v>@ManuelReiz</v>
      </c>
      <c r="C1233" s="8" t="s">
        <v>2525</v>
      </c>
      <c r="D1233" s="9" t="s">
        <v>2526</v>
      </c>
      <c r="E1233" s="10" t="str">
        <f>HYPERLINK("https://twitter.com/ManuelReiz/status/1071043281105158147","1071043281105158147")</f>
        <v>1071043281105158147</v>
      </c>
      <c r="F1233" s="11"/>
      <c r="G1233" s="12" t="s">
        <v>2528</v>
      </c>
      <c r="H1233" s="11"/>
      <c r="I1233" s="13">
        <v>4</v>
      </c>
      <c r="J1233" s="13">
        <v>7</v>
      </c>
      <c r="K1233" s="14" t="str">
        <f t="shared" ref="K1233:K1235" si="220">HYPERLINK("http://twitter.com/download/android","Twitter for Android")</f>
        <v>Twitter for Android</v>
      </c>
      <c r="L1233" s="13">
        <v>1814</v>
      </c>
      <c r="M1233" s="13">
        <v>742</v>
      </c>
      <c r="N1233" s="13">
        <v>5</v>
      </c>
      <c r="O1233" s="15"/>
      <c r="P1233" s="6">
        <v>41784.924050925925</v>
      </c>
      <c r="Q1233" s="18" t="s">
        <v>42</v>
      </c>
      <c r="R1233" s="19" t="s">
        <v>2529</v>
      </c>
      <c r="S1233" s="11"/>
      <c r="T1233" s="11"/>
      <c r="U1233" s="10" t="str">
        <f>HYPERLINK("https://pbs.twimg.com/profile_images/988799645848567808/0jeyFLtc.jpg","View")</f>
        <v>View</v>
      </c>
    </row>
    <row r="1234" spans="1:21" ht="40.799999999999997">
      <c r="A1234" s="6">
        <v>43441.629513888889</v>
      </c>
      <c r="B1234" s="7" t="str">
        <f>HYPERLINK("https://twitter.com/Alexiswolf1430","@Alexiswolf1430")</f>
        <v>@Alexiswolf1430</v>
      </c>
      <c r="C1234" s="8" t="s">
        <v>2533</v>
      </c>
      <c r="D1234" s="9" t="s">
        <v>2534</v>
      </c>
      <c r="E1234" s="10" t="str">
        <f>HYPERLINK("https://twitter.com/Alexiswolf1430/status/1071043273760927746","1071043273760927746")</f>
        <v>1071043273760927746</v>
      </c>
      <c r="F1234" s="11"/>
      <c r="G1234" s="12" t="s">
        <v>2536</v>
      </c>
      <c r="H1234" s="11"/>
      <c r="I1234" s="13">
        <v>0</v>
      </c>
      <c r="J1234" s="13">
        <v>0</v>
      </c>
      <c r="K1234" s="14" t="str">
        <f t="shared" si="220"/>
        <v>Twitter for Android</v>
      </c>
      <c r="L1234" s="13">
        <v>767</v>
      </c>
      <c r="M1234" s="13">
        <v>1737</v>
      </c>
      <c r="N1234" s="13">
        <v>17</v>
      </c>
      <c r="O1234" s="15"/>
      <c r="P1234" s="6">
        <v>42355.798206018517</v>
      </c>
      <c r="Q1234" s="18" t="s">
        <v>2537</v>
      </c>
      <c r="R1234" s="19" t="s">
        <v>2538</v>
      </c>
      <c r="S1234" s="11"/>
      <c r="T1234" s="11"/>
      <c r="U1234" s="10" t="str">
        <f>HYPERLINK("https://pbs.twimg.com/profile_images/917643534194356225/kqVoa66G.jpg","View")</f>
        <v>View</v>
      </c>
    </row>
    <row r="1235" spans="1:21" ht="102">
      <c r="A1235" s="6">
        <v>43441.629212962958</v>
      </c>
      <c r="B1235" s="7" t="str">
        <f>HYPERLINK("https://twitter.com/coldecastro","@coldecastro")</f>
        <v>@coldecastro</v>
      </c>
      <c r="C1235" s="8" t="s">
        <v>5594</v>
      </c>
      <c r="D1235" s="9" t="s">
        <v>5595</v>
      </c>
      <c r="E1235" s="10" t="str">
        <f>HYPERLINK("https://twitter.com/coldecastro/status/1071043167036817409","1071043167036817409")</f>
        <v>1071043167036817409</v>
      </c>
      <c r="F1235" s="12" t="s">
        <v>5596</v>
      </c>
      <c r="G1235" s="11"/>
      <c r="H1235" s="11"/>
      <c r="I1235" s="13">
        <v>0</v>
      </c>
      <c r="J1235" s="13">
        <v>0</v>
      </c>
      <c r="K1235" s="14" t="str">
        <f t="shared" si="220"/>
        <v>Twitter for Android</v>
      </c>
      <c r="L1235" s="13">
        <v>347</v>
      </c>
      <c r="M1235" s="13">
        <v>460</v>
      </c>
      <c r="N1235" s="13">
        <v>12</v>
      </c>
      <c r="O1235" s="15"/>
      <c r="P1235" s="6">
        <v>42407.904687499999</v>
      </c>
      <c r="Q1235" s="18" t="s">
        <v>260</v>
      </c>
      <c r="R1235" s="19" t="s">
        <v>5597</v>
      </c>
      <c r="S1235" s="11"/>
      <c r="T1235" s="11"/>
      <c r="U1235" s="10" t="str">
        <f>HYPERLINK("https://pbs.twimg.com/profile_images/1014393376324636673/hvd-zlDr.jpg","View")</f>
        <v>View</v>
      </c>
    </row>
    <row r="1236" spans="1:21" ht="40.799999999999997">
      <c r="A1236" s="6">
        <v>43441.626041666663</v>
      </c>
      <c r="B1236" s="7" t="str">
        <f>HYPERLINK("https://twitter.com/podemos_dolores","@podemos_dolores")</f>
        <v>@podemos_dolores</v>
      </c>
      <c r="C1236" s="8" t="s">
        <v>2541</v>
      </c>
      <c r="D1236" s="9" t="s">
        <v>2542</v>
      </c>
      <c r="E1236" s="10" t="str">
        <f>HYPERLINK("https://twitter.com/podemos_dolores/status/1071042015813648385","1071042015813648385")</f>
        <v>1071042015813648385</v>
      </c>
      <c r="F1236" s="12" t="s">
        <v>2544</v>
      </c>
      <c r="G1236" s="11"/>
      <c r="H1236" s="11"/>
      <c r="I1236" s="13">
        <v>0</v>
      </c>
      <c r="J1236" s="13">
        <v>0</v>
      </c>
      <c r="K1236" s="14" t="str">
        <f t="shared" ref="K1236:K1237" si="221">HYPERLINK("http://www.facebook.com/twitter","Facebook")</f>
        <v>Facebook</v>
      </c>
      <c r="L1236" s="13">
        <v>267</v>
      </c>
      <c r="M1236" s="13">
        <v>411</v>
      </c>
      <c r="N1236" s="13">
        <v>11</v>
      </c>
      <c r="O1236" s="15"/>
      <c r="P1236" s="6">
        <v>41889.865648148145</v>
      </c>
      <c r="Q1236" s="18" t="s">
        <v>2546</v>
      </c>
      <c r="R1236" s="19" t="s">
        <v>2547</v>
      </c>
      <c r="S1236" s="11"/>
      <c r="T1236" s="11"/>
      <c r="U1236" s="10" t="str">
        <f>HYPERLINK("https://pbs.twimg.com/profile_images/902823341429465089/tje-Rkcl.jpg","View")</f>
        <v>View</v>
      </c>
    </row>
    <row r="1237" spans="1:21" ht="40.799999999999997">
      <c r="A1237" s="6">
        <v>43441.625590277778</v>
      </c>
      <c r="B1237" s="7" t="str">
        <f>HYPERLINK("https://twitter.com/VictoriAndres1","@VictoriAndres1")</f>
        <v>@VictoriAndres1</v>
      </c>
      <c r="C1237" s="8" t="s">
        <v>1318</v>
      </c>
      <c r="D1237" s="9" t="s">
        <v>5598</v>
      </c>
      <c r="E1237" s="10" t="str">
        <f>HYPERLINK("https://twitter.com/VictoriAndres1/status/1071041852722307072","1071041852722307072")</f>
        <v>1071041852722307072</v>
      </c>
      <c r="F1237" s="11"/>
      <c r="G1237" s="11"/>
      <c r="H1237" s="11"/>
      <c r="I1237" s="13">
        <v>0</v>
      </c>
      <c r="J1237" s="13">
        <v>0</v>
      </c>
      <c r="K1237" s="14" t="str">
        <f t="shared" si="221"/>
        <v>Facebook</v>
      </c>
      <c r="L1237" s="13">
        <v>202</v>
      </c>
      <c r="M1237" s="13">
        <v>294</v>
      </c>
      <c r="N1237" s="13">
        <v>1</v>
      </c>
      <c r="O1237" s="15"/>
      <c r="P1237" s="6">
        <v>40992.421249999999</v>
      </c>
      <c r="Q1237" s="18" t="s">
        <v>307</v>
      </c>
      <c r="R1237" s="19" t="s">
        <v>1321</v>
      </c>
      <c r="S1237" s="12" t="s">
        <v>1322</v>
      </c>
      <c r="T1237" s="11"/>
      <c r="U1237" s="10" t="str">
        <f>HYPERLINK("https://pbs.twimg.com/profile_images/1018850373476454400/___hRpp7.jpg","View")</f>
        <v>View</v>
      </c>
    </row>
    <row r="1238" spans="1:21" ht="30.6">
      <c r="A1238" s="6">
        <v>43441.624259259261</v>
      </c>
      <c r="B1238" s="7" t="str">
        <f>HYPERLINK("https://twitter.com/construyexitos","@construyexitos")</f>
        <v>@construyexitos</v>
      </c>
      <c r="C1238" s="8" t="s">
        <v>2063</v>
      </c>
      <c r="D1238" s="9" t="s">
        <v>5599</v>
      </c>
      <c r="E1238" s="10" t="str">
        <f>HYPERLINK("https://twitter.com/construyexitos/status/1071041369203007490","1071041369203007490")</f>
        <v>1071041369203007490</v>
      </c>
      <c r="F1238" s="18" t="s">
        <v>5600</v>
      </c>
      <c r="G1238" s="11"/>
      <c r="H1238" s="11"/>
      <c r="I1238" s="13">
        <v>1</v>
      </c>
      <c r="J1238" s="13">
        <v>0</v>
      </c>
      <c r="K1238" s="14" t="str">
        <f>HYPERLINK("http://twitter.com/download/android","Twitter for Android")</f>
        <v>Twitter for Android</v>
      </c>
      <c r="L1238" s="13">
        <v>4456</v>
      </c>
      <c r="M1238" s="13">
        <v>4545</v>
      </c>
      <c r="N1238" s="13">
        <v>16</v>
      </c>
      <c r="O1238" s="15"/>
      <c r="P1238" s="6">
        <v>40549.987187500003</v>
      </c>
      <c r="Q1238" s="11"/>
      <c r="R1238" s="19" t="s">
        <v>2068</v>
      </c>
      <c r="S1238" s="11"/>
      <c r="T1238" s="11"/>
      <c r="U1238" s="10" t="str">
        <f>HYPERLINK("https://pbs.twimg.com/profile_images/2892203399/6a265595e6aeedf9586886d1b1191708.jpeg","View")</f>
        <v>View</v>
      </c>
    </row>
    <row r="1239" spans="1:21" ht="40.799999999999997">
      <c r="A1239" s="6">
        <v>43441.624189814815</v>
      </c>
      <c r="B1239" s="7" t="str">
        <f>HYPERLINK("https://twitter.com/trancan92486565","@trancan92486565")</f>
        <v>@trancan92486565</v>
      </c>
      <c r="C1239" s="8" t="s">
        <v>265</v>
      </c>
      <c r="D1239" s="9" t="s">
        <v>267</v>
      </c>
      <c r="E1239" s="10" t="str">
        <f>HYPERLINK("https://twitter.com/trancan92486565/status/1071041344938889216","1071041344938889216")</f>
        <v>1071041344938889216</v>
      </c>
      <c r="F1239" s="12" t="s">
        <v>5601</v>
      </c>
      <c r="G1239" s="11"/>
      <c r="H1239" s="11"/>
      <c r="I1239" s="13">
        <v>0</v>
      </c>
      <c r="J1239" s="13">
        <v>0</v>
      </c>
      <c r="K1239" s="14" t="str">
        <f>HYPERLINK("https://www.google.com/","Google")</f>
        <v>Google</v>
      </c>
      <c r="L1239" s="13">
        <v>4</v>
      </c>
      <c r="M1239" s="13">
        <v>11</v>
      </c>
      <c r="N1239" s="13">
        <v>0</v>
      </c>
      <c r="O1239" s="15"/>
      <c r="P1239" s="6">
        <v>43017.648888888885</v>
      </c>
      <c r="Q1239" s="18" t="s">
        <v>271</v>
      </c>
      <c r="R1239" s="19" t="s">
        <v>272</v>
      </c>
      <c r="S1239" s="12" t="s">
        <v>273</v>
      </c>
      <c r="T1239" s="11"/>
      <c r="U1239" s="10" t="str">
        <f>HYPERLINK("https://pbs.twimg.com/profile_images/917383125419704331/5l2pJCL9.jpg","View")</f>
        <v>View</v>
      </c>
    </row>
    <row r="1240" spans="1:21" ht="61.2">
      <c r="A1240" s="6">
        <v>43441.62399305556</v>
      </c>
      <c r="B1240" s="7" t="str">
        <f>HYPERLINK("https://twitter.com/gabylopez83","@gabylopez83")</f>
        <v>@gabylopez83</v>
      </c>
      <c r="C1240" s="8" t="s">
        <v>5602</v>
      </c>
      <c r="D1240" s="9" t="s">
        <v>5603</v>
      </c>
      <c r="E1240" s="10" t="str">
        <f>HYPERLINK("https://twitter.com/gabylopez83/status/1071041276156567554","1071041276156567554")</f>
        <v>1071041276156567554</v>
      </c>
      <c r="F1240" s="11"/>
      <c r="G1240" s="12" t="s">
        <v>5604</v>
      </c>
      <c r="H1240" s="11"/>
      <c r="I1240" s="13">
        <v>10</v>
      </c>
      <c r="J1240" s="13">
        <v>10</v>
      </c>
      <c r="K1240" s="14" t="str">
        <f>HYPERLINK("http://twitter.com/download/android","Twitter for Android")</f>
        <v>Twitter for Android</v>
      </c>
      <c r="L1240" s="13">
        <v>9622</v>
      </c>
      <c r="M1240" s="13">
        <v>10033</v>
      </c>
      <c r="N1240" s="13">
        <v>14</v>
      </c>
      <c r="O1240" s="15"/>
      <c r="P1240" s="6">
        <v>40862.824189814812</v>
      </c>
      <c r="Q1240" s="11"/>
      <c r="R1240" s="19" t="s">
        <v>5605</v>
      </c>
      <c r="S1240" s="12" t="s">
        <v>5606</v>
      </c>
      <c r="T1240" s="11"/>
      <c r="U1240" s="10" t="str">
        <f>HYPERLINK("https://pbs.twimg.com/profile_images/1008854272363192320/to6ROs3Z.jpg","View")</f>
        <v>View</v>
      </c>
    </row>
    <row r="1241" spans="1:21" ht="102">
      <c r="A1241" s="6">
        <v>43441.623773148152</v>
      </c>
      <c r="B1241" s="7" t="str">
        <f>HYPERLINK("https://twitter.com/rompe_teclas","@rompe_teclas")</f>
        <v>@rompe_teclas</v>
      </c>
      <c r="C1241" s="8" t="s">
        <v>5607</v>
      </c>
      <c r="D1241" s="9" t="s">
        <v>5608</v>
      </c>
      <c r="E1241" s="10" t="str">
        <f>HYPERLINK("https://twitter.com/rompe_teclas/status/1071041194258563074","1071041194258563074")</f>
        <v>1071041194258563074</v>
      </c>
      <c r="F1241" s="12" t="s">
        <v>5609</v>
      </c>
      <c r="G1241" s="12" t="s">
        <v>5610</v>
      </c>
      <c r="H1241" s="11"/>
      <c r="I1241" s="13">
        <v>2</v>
      </c>
      <c r="J1241" s="13">
        <v>7</v>
      </c>
      <c r="K1241" s="14" t="str">
        <f>HYPERLINK("http://twitter.com","Twitter Web Client")</f>
        <v>Twitter Web Client</v>
      </c>
      <c r="L1241" s="13">
        <v>6583</v>
      </c>
      <c r="M1241" s="13">
        <v>342</v>
      </c>
      <c r="N1241" s="13">
        <v>58</v>
      </c>
      <c r="O1241" s="15"/>
      <c r="P1241" s="6">
        <v>39967.011111111111</v>
      </c>
      <c r="Q1241" s="18" t="s">
        <v>4778</v>
      </c>
      <c r="R1241" s="19" t="s">
        <v>5611</v>
      </c>
      <c r="S1241" s="12" t="s">
        <v>5612</v>
      </c>
      <c r="T1241" s="11"/>
      <c r="U1241" s="10" t="str">
        <f>HYPERLINK("https://pbs.twimg.com/profile_images/1029379717474922497/-W8qZqHl.jpg","View")</f>
        <v>View</v>
      </c>
    </row>
    <row r="1242" spans="1:21" ht="102">
      <c r="A1242" s="6">
        <v>43441.623333333337</v>
      </c>
      <c r="B1242" s="7" t="str">
        <f>HYPERLINK("https://twitter.com/Guia_mispasos","@Guia_mispasos")</f>
        <v>@Guia_mispasos</v>
      </c>
      <c r="C1242" s="8" t="s">
        <v>1226</v>
      </c>
      <c r="D1242" s="9" t="s">
        <v>5613</v>
      </c>
      <c r="E1242" s="10" t="str">
        <f>HYPERLINK("https://twitter.com/Guia_mispasos/status/1071041034531028997","1071041034531028997")</f>
        <v>1071041034531028997</v>
      </c>
      <c r="F1242" s="18" t="s">
        <v>3406</v>
      </c>
      <c r="G1242" s="11"/>
      <c r="H1242" s="11"/>
      <c r="I1242" s="13">
        <v>0</v>
      </c>
      <c r="J1242" s="13">
        <v>0</v>
      </c>
      <c r="K1242" s="14" t="str">
        <f>HYPERLINK("http://twitter.com/download/android","Twitter for Android")</f>
        <v>Twitter for Android</v>
      </c>
      <c r="L1242" s="13">
        <v>3074</v>
      </c>
      <c r="M1242" s="13">
        <v>2404</v>
      </c>
      <c r="N1242" s="13">
        <v>42</v>
      </c>
      <c r="O1242" s="15"/>
      <c r="P1242" s="6">
        <v>39820.470856481479</v>
      </c>
      <c r="Q1242" s="18" t="s">
        <v>1230</v>
      </c>
      <c r="R1242" s="19" t="s">
        <v>1231</v>
      </c>
      <c r="S1242" s="12" t="s">
        <v>1232</v>
      </c>
      <c r="T1242" s="11"/>
      <c r="U1242" s="10" t="str">
        <f>HYPERLINK("https://pbs.twimg.com/profile_images/845729406119239681/w86jd6JV.jpg","View")</f>
        <v>View</v>
      </c>
    </row>
    <row r="1243" spans="1:21" ht="51">
      <c r="A1243" s="6">
        <v>43441.623136574075</v>
      </c>
      <c r="B1243" s="7" t="str">
        <f>HYPERLINK("https://twitter.com/FranEcheve","@FranEcheve")</f>
        <v>@FranEcheve</v>
      </c>
      <c r="C1243" s="8" t="s">
        <v>2549</v>
      </c>
      <c r="D1243" s="9" t="s">
        <v>2550</v>
      </c>
      <c r="E1243" s="10" t="str">
        <f>HYPERLINK("https://twitter.com/FranEcheve/status/1071040962460307456","1071040962460307456")</f>
        <v>1071040962460307456</v>
      </c>
      <c r="F1243" s="11"/>
      <c r="G1243" s="11"/>
      <c r="H1243" s="11"/>
      <c r="I1243" s="13">
        <v>0</v>
      </c>
      <c r="J1243" s="13">
        <v>0</v>
      </c>
      <c r="K1243" s="14" t="str">
        <f>HYPERLINK("http://twitter.com/download/iphone","Twitter for iPhone")</f>
        <v>Twitter for iPhone</v>
      </c>
      <c r="L1243" s="13">
        <v>4314</v>
      </c>
      <c r="M1243" s="13">
        <v>813</v>
      </c>
      <c r="N1243" s="13">
        <v>48</v>
      </c>
      <c r="O1243" s="15"/>
      <c r="P1243" s="6">
        <v>40486.784236111111</v>
      </c>
      <c r="Q1243" s="18" t="s">
        <v>2552</v>
      </c>
      <c r="R1243" s="19" t="s">
        <v>2553</v>
      </c>
      <c r="S1243" s="12" t="s">
        <v>2554</v>
      </c>
      <c r="T1243" s="11"/>
      <c r="U1243" s="10" t="str">
        <f>HYPERLINK("https://pbs.twimg.com/profile_images/1159677892/yo_con_camara.JPG","View")</f>
        <v>View</v>
      </c>
    </row>
    <row r="1244" spans="1:21" ht="40.799999999999997">
      <c r="A1244" s="6">
        <v>43441.623113425929</v>
      </c>
      <c r="B1244" s="7" t="str">
        <f>HYPERLINK("https://twitter.com/Pablo_Iglesias_","@Pablo_Iglesias_")</f>
        <v>@Pablo_Iglesias_</v>
      </c>
      <c r="C1244" s="8" t="s">
        <v>1532</v>
      </c>
      <c r="D1244" s="9" t="s">
        <v>5614</v>
      </c>
      <c r="E1244" s="10" t="str">
        <f>HYPERLINK("https://twitter.com/Pablo_Iglesias_/status/1071040955615195136","1071040955615195136")</f>
        <v>1071040955615195136</v>
      </c>
      <c r="F1244" s="11"/>
      <c r="G1244" s="12" t="s">
        <v>2483</v>
      </c>
      <c r="H1244" s="11"/>
      <c r="I1244" s="13">
        <v>171</v>
      </c>
      <c r="J1244" s="13">
        <v>398</v>
      </c>
      <c r="K1244" s="14" t="str">
        <f>HYPERLINK("http://twitter.com","Twitter Web Client")</f>
        <v>Twitter Web Client</v>
      </c>
      <c r="L1244" s="13">
        <v>2243645</v>
      </c>
      <c r="M1244" s="13">
        <v>2745</v>
      </c>
      <c r="N1244" s="13">
        <v>8492</v>
      </c>
      <c r="O1244" s="16" t="s">
        <v>25</v>
      </c>
      <c r="P1244" s="6">
        <v>40351.575300925928</v>
      </c>
      <c r="Q1244" s="18" t="s">
        <v>307</v>
      </c>
      <c r="R1244" s="19" t="s">
        <v>1538</v>
      </c>
      <c r="S1244" s="12" t="s">
        <v>1539</v>
      </c>
      <c r="T1244" s="11"/>
      <c r="U1244" s="10" t="str">
        <f>HYPERLINK("https://pbs.twimg.com/profile_images/902223370569338884/dL2D2A5P.jpg","View")</f>
        <v>View</v>
      </c>
    </row>
    <row r="1245" spans="1:21" ht="30.6">
      <c r="A1245" s="6">
        <v>43441.623043981483</v>
      </c>
      <c r="B1245" s="7" t="str">
        <f>HYPERLINK("https://twitter.com/ellainsumisa","@ellainsumisa")</f>
        <v>@ellainsumisa</v>
      </c>
      <c r="C1245" s="8" t="s">
        <v>2557</v>
      </c>
      <c r="D1245" s="9" t="s">
        <v>2558</v>
      </c>
      <c r="E1245" s="10" t="str">
        <f>HYPERLINK("https://twitter.com/ellainsumisa/status/1071040931623776257","1071040931623776257")</f>
        <v>1071040931623776257</v>
      </c>
      <c r="F1245" s="11"/>
      <c r="G1245" s="12" t="s">
        <v>2560</v>
      </c>
      <c r="H1245" s="11"/>
      <c r="I1245" s="13">
        <v>0</v>
      </c>
      <c r="J1245" s="13">
        <v>0</v>
      </c>
      <c r="K1245" s="14" t="str">
        <f>HYPERLINK("http://twitter.com/download/android","Twitter for Android")</f>
        <v>Twitter for Android</v>
      </c>
      <c r="L1245" s="13">
        <v>121</v>
      </c>
      <c r="M1245" s="13">
        <v>311</v>
      </c>
      <c r="N1245" s="13">
        <v>0</v>
      </c>
      <c r="O1245" s="15"/>
      <c r="P1245" s="6">
        <v>40287.729328703703</v>
      </c>
      <c r="Q1245" s="18" t="s">
        <v>42</v>
      </c>
      <c r="R1245" s="19" t="s">
        <v>2562</v>
      </c>
      <c r="S1245" s="11"/>
      <c r="T1245" s="11"/>
      <c r="U1245" s="10" t="str">
        <f>HYPERLINK("https://pbs.twimg.com/profile_images/1070589711784271878/UoEYG1Gg.jpg","View")</f>
        <v>View</v>
      </c>
    </row>
    <row r="1246" spans="1:21" ht="30.6">
      <c r="A1246" s="6">
        <v>43441.622303240743</v>
      </c>
      <c r="B1246" s="7" t="str">
        <f>HYPERLINK("https://twitter.com/CIJ37","@CIJ37")</f>
        <v>@CIJ37</v>
      </c>
      <c r="C1246" s="8" t="s">
        <v>5615</v>
      </c>
      <c r="D1246" s="9" t="s">
        <v>5616</v>
      </c>
      <c r="E1246" s="10" t="str">
        <f>HYPERLINK("https://twitter.com/CIJ37/status/1071040661695197184","1071040661695197184")</f>
        <v>1071040661695197184</v>
      </c>
      <c r="F1246" s="12" t="s">
        <v>5059</v>
      </c>
      <c r="G1246" s="11"/>
      <c r="H1246" s="11"/>
      <c r="I1246" s="13">
        <v>2</v>
      </c>
      <c r="J1246" s="13">
        <v>0</v>
      </c>
      <c r="K1246" s="14" t="str">
        <f>HYPERLINK("https://mobile.twitter.com","Twitter Lite")</f>
        <v>Twitter Lite</v>
      </c>
      <c r="L1246" s="13">
        <v>637</v>
      </c>
      <c r="M1246" s="13">
        <v>1048</v>
      </c>
      <c r="N1246" s="13">
        <v>9</v>
      </c>
      <c r="O1246" s="15"/>
      <c r="P1246" s="6">
        <v>40751.025393518517</v>
      </c>
      <c r="Q1246" s="18" t="s">
        <v>5617</v>
      </c>
      <c r="R1246" s="19" t="s">
        <v>5618</v>
      </c>
      <c r="S1246" s="11"/>
      <c r="T1246" s="11"/>
      <c r="U1246" s="10" t="str">
        <f>HYPERLINK("https://pbs.twimg.com/profile_images/869302706686570496/3rzze575.jpg","View")</f>
        <v>View</v>
      </c>
    </row>
    <row r="1247" spans="1:21" ht="40.799999999999997">
      <c r="A1247" s="6">
        <v>43441.622233796297</v>
      </c>
      <c r="B1247" s="7" t="str">
        <f>HYPERLINK("https://twitter.com/VittoReal","@VittoReal")</f>
        <v>@VittoReal</v>
      </c>
      <c r="C1247" s="8" t="s">
        <v>2565</v>
      </c>
      <c r="D1247" s="9" t="s">
        <v>2566</v>
      </c>
      <c r="E1247" s="10" t="str">
        <f>HYPERLINK("https://twitter.com/VittoReal/status/1071040635904368640","1071040635904368640")</f>
        <v>1071040635904368640</v>
      </c>
      <c r="F1247" s="11"/>
      <c r="G1247" s="11"/>
      <c r="H1247" s="11"/>
      <c r="I1247" s="13">
        <v>0</v>
      </c>
      <c r="J1247" s="13">
        <v>1</v>
      </c>
      <c r="K1247" s="14" t="str">
        <f>HYPERLINK("http://twitter.com/download/android","Twitter for Android")</f>
        <v>Twitter for Android</v>
      </c>
      <c r="L1247" s="13">
        <v>1290</v>
      </c>
      <c r="M1247" s="13">
        <v>785</v>
      </c>
      <c r="N1247" s="13">
        <v>22</v>
      </c>
      <c r="O1247" s="15"/>
      <c r="P1247" s="6">
        <v>40853.652222222227</v>
      </c>
      <c r="Q1247" s="11"/>
      <c r="R1247" s="19" t="s">
        <v>2568</v>
      </c>
      <c r="S1247" s="12" t="s">
        <v>2569</v>
      </c>
      <c r="T1247" s="11"/>
      <c r="U1247" s="10" t="str">
        <f>HYPERLINK("https://pbs.twimg.com/profile_images/1061610325760503808/z_re0JP_.jpg","View")</f>
        <v>View</v>
      </c>
    </row>
    <row r="1248" spans="1:21" ht="20.399999999999999">
      <c r="A1248" s="6">
        <v>43441.621886574074</v>
      </c>
      <c r="B1248" s="7" t="str">
        <f>HYPERLINK("https://twitter.com/alhernandezreal","@alhernandezreal")</f>
        <v>@alhernandezreal</v>
      </c>
      <c r="C1248" s="8" t="s">
        <v>705</v>
      </c>
      <c r="D1248" s="9" t="s">
        <v>2453</v>
      </c>
      <c r="E1248" s="10" t="str">
        <f>HYPERLINK("https://twitter.com/alhernandezreal/status/1071040511048335360","1071040511048335360")</f>
        <v>1071040511048335360</v>
      </c>
      <c r="F1248" s="12" t="s">
        <v>2454</v>
      </c>
      <c r="G1248" s="11"/>
      <c r="H1248" s="11"/>
      <c r="I1248" s="13">
        <v>0</v>
      </c>
      <c r="J1248" s="13">
        <v>0</v>
      </c>
      <c r="K1248" s="14" t="str">
        <f>HYPERLINK("https://www.google.com/","Google")</f>
        <v>Google</v>
      </c>
      <c r="L1248" s="13">
        <v>10</v>
      </c>
      <c r="M1248" s="13">
        <v>38</v>
      </c>
      <c r="N1248" s="13">
        <v>0</v>
      </c>
      <c r="O1248" s="15"/>
      <c r="P1248" s="6">
        <v>41084.786550925928</v>
      </c>
      <c r="Q1248" s="11"/>
      <c r="R1248" s="17"/>
      <c r="S1248" s="11"/>
      <c r="T1248" s="11"/>
      <c r="U1248" s="10" t="str">
        <f>HYPERLINK("https://pbs.twimg.com/profile_images/736501150812372992/bSdeM1LC.jpg","View")</f>
        <v>View</v>
      </c>
    </row>
    <row r="1249" spans="1:21" ht="51">
      <c r="A1249" s="6">
        <v>43441.621724537035</v>
      </c>
      <c r="B1249" s="7" t="str">
        <f>HYPERLINK("https://twitter.com/Elittista","@Elittista")</f>
        <v>@Elittista</v>
      </c>
      <c r="C1249" s="8" t="s">
        <v>1073</v>
      </c>
      <c r="D1249" s="9" t="s">
        <v>2571</v>
      </c>
      <c r="E1249" s="10" t="str">
        <f>HYPERLINK("https://twitter.com/Elittista/status/1071040454479765505","1071040454479765505")</f>
        <v>1071040454479765505</v>
      </c>
      <c r="F1249" s="12" t="s">
        <v>2572</v>
      </c>
      <c r="G1249" s="11"/>
      <c r="H1249" s="11"/>
      <c r="I1249" s="13">
        <v>0</v>
      </c>
      <c r="J1249" s="13">
        <v>0</v>
      </c>
      <c r="K1249" s="14" t="str">
        <f>HYPERLINK("http://twitter.com/download/iphone","Twitter for iPhone")</f>
        <v>Twitter for iPhone</v>
      </c>
      <c r="L1249" s="13">
        <v>444</v>
      </c>
      <c r="M1249" s="13">
        <v>2408</v>
      </c>
      <c r="N1249" s="13">
        <v>5</v>
      </c>
      <c r="O1249" s="15"/>
      <c r="P1249" s="6">
        <v>42683.798460648148</v>
      </c>
      <c r="Q1249" s="18" t="s">
        <v>42</v>
      </c>
      <c r="R1249" s="19" t="s">
        <v>1078</v>
      </c>
      <c r="S1249" s="11"/>
      <c r="T1249" s="11"/>
      <c r="U1249" s="10" t="str">
        <f>HYPERLINK("https://pbs.twimg.com/profile_images/1069353757325123584/vnDlPuuT.jpg","View")</f>
        <v>View</v>
      </c>
    </row>
    <row r="1250" spans="1:21" ht="40.799999999999997">
      <c r="A1250" s="6">
        <v>43441.621076388888</v>
      </c>
      <c r="B1250" s="7" t="str">
        <f>HYPERLINK("https://twitter.com/VayanPalCarajo","@VayanPalCarajo")</f>
        <v>@VayanPalCarajo</v>
      </c>
      <c r="C1250" s="8" t="s">
        <v>5619</v>
      </c>
      <c r="D1250" s="9" t="s">
        <v>5620</v>
      </c>
      <c r="E1250" s="10" t="str">
        <f>HYPERLINK("https://twitter.com/VayanPalCarajo/status/1071040219145756672","1071040219145756672")</f>
        <v>1071040219145756672</v>
      </c>
      <c r="F1250" s="12" t="s">
        <v>5621</v>
      </c>
      <c r="G1250" s="11"/>
      <c r="H1250" s="11"/>
      <c r="I1250" s="13">
        <v>0</v>
      </c>
      <c r="J1250" s="13">
        <v>0</v>
      </c>
      <c r="K1250" s="14" t="str">
        <f>HYPERLINK("http://www.tweetcaster.com","TweetCaster for Android")</f>
        <v>TweetCaster for Android</v>
      </c>
      <c r="L1250" s="13">
        <v>3241</v>
      </c>
      <c r="M1250" s="13">
        <v>133</v>
      </c>
      <c r="N1250" s="13">
        <v>90</v>
      </c>
      <c r="O1250" s="15"/>
      <c r="P1250" s="6">
        <v>39985.067453703705</v>
      </c>
      <c r="Q1250" s="18" t="s">
        <v>5622</v>
      </c>
      <c r="R1250" s="19" t="s">
        <v>5623</v>
      </c>
      <c r="S1250" s="11"/>
      <c r="T1250" s="11"/>
      <c r="U1250" s="10" t="str">
        <f>HYPERLINK("https://pbs.twimg.com/profile_images/857403559960342528/tT7KmO82.jpg","View")</f>
        <v>View</v>
      </c>
    </row>
    <row r="1251" spans="1:21" ht="20.399999999999999">
      <c r="A1251" s="6">
        <v>43441.620196759264</v>
      </c>
      <c r="B1251" s="7" t="str">
        <f>HYPERLINK("https://twitter.com/debate_es","@debate_es")</f>
        <v>@debate_es</v>
      </c>
      <c r="C1251" s="22" t="s">
        <v>1865</v>
      </c>
      <c r="D1251" s="9" t="s">
        <v>1867</v>
      </c>
      <c r="E1251" s="10" t="str">
        <f>HYPERLINK("https://twitter.com/debate_es/status/1071039899221004289","1071039899221004289")</f>
        <v>1071039899221004289</v>
      </c>
      <c r="F1251" s="12" t="s">
        <v>1868</v>
      </c>
      <c r="G1251" s="11"/>
      <c r="H1251" s="11"/>
      <c r="I1251" s="13">
        <v>3</v>
      </c>
      <c r="J1251" s="13">
        <v>1</v>
      </c>
      <c r="K1251" s="14" t="str">
        <f>HYPERLINK("https://about.twitter.com/products/tweetdeck","TweetDeck")</f>
        <v>TweetDeck</v>
      </c>
      <c r="L1251" s="13">
        <v>1990</v>
      </c>
      <c r="M1251" s="13">
        <v>0</v>
      </c>
      <c r="N1251" s="13">
        <v>26</v>
      </c>
      <c r="O1251" s="15"/>
      <c r="P1251" s="6">
        <v>43258.540625000001</v>
      </c>
      <c r="Q1251" s="11"/>
      <c r="R1251" s="19" t="s">
        <v>1871</v>
      </c>
      <c r="S1251" s="12" t="s">
        <v>1872</v>
      </c>
      <c r="T1251" s="11"/>
      <c r="U1251" s="10" t="str">
        <f>HYPERLINK("https://pbs.twimg.com/profile_images/1022497434029699073/kza_Om7G.jpg","View")</f>
        <v>View</v>
      </c>
    </row>
    <row r="1252" spans="1:21" ht="40.799999999999997">
      <c r="A1252" s="6">
        <v>43441.619953703703</v>
      </c>
      <c r="B1252" s="7" t="str">
        <f>HYPERLINK("https://twitter.com/Mubrutico","@Mubrutico")</f>
        <v>@Mubrutico</v>
      </c>
      <c r="C1252" s="8" t="s">
        <v>5624</v>
      </c>
      <c r="D1252" s="9" t="s">
        <v>5625</v>
      </c>
      <c r="E1252" s="10" t="str">
        <f>HYPERLINK("https://twitter.com/Mubrutico/status/1071039810876399619","1071039810876399619")</f>
        <v>1071039810876399619</v>
      </c>
      <c r="F1252" s="12" t="s">
        <v>5626</v>
      </c>
      <c r="G1252" s="11"/>
      <c r="H1252" s="11"/>
      <c r="I1252" s="13">
        <v>0</v>
      </c>
      <c r="J1252" s="13">
        <v>3</v>
      </c>
      <c r="K1252" s="14" t="str">
        <f>HYPERLINK("http://twitter.com/download/iphone","Twitter for iPhone")</f>
        <v>Twitter for iPhone</v>
      </c>
      <c r="L1252" s="13">
        <v>6091</v>
      </c>
      <c r="M1252" s="13">
        <v>263</v>
      </c>
      <c r="N1252" s="13">
        <v>109</v>
      </c>
      <c r="O1252" s="15"/>
      <c r="P1252" s="6">
        <v>41795.688391203701</v>
      </c>
      <c r="Q1252" s="18" t="s">
        <v>5627</v>
      </c>
      <c r="R1252" s="19" t="s">
        <v>5628</v>
      </c>
      <c r="S1252" s="11"/>
      <c r="T1252" s="11"/>
      <c r="U1252" s="10" t="str">
        <f>HYPERLINK("https://pbs.twimg.com/profile_images/1059060379991597058/oFIvdbk5.jpg","View")</f>
        <v>View</v>
      </c>
    </row>
    <row r="1253" spans="1:21" ht="20.399999999999999">
      <c r="A1253" s="6">
        <v>43441.618969907402</v>
      </c>
      <c r="B1253" s="7" t="str">
        <f>HYPERLINK("https://twitter.com/MierdaVaya","@MierdaVaya")</f>
        <v>@MierdaVaya</v>
      </c>
      <c r="C1253" s="8" t="s">
        <v>5629</v>
      </c>
      <c r="D1253" s="9" t="s">
        <v>5630</v>
      </c>
      <c r="E1253" s="10" t="str">
        <f>HYPERLINK("https://twitter.com/MierdaVaya/status/1071039454872244229","1071039454872244229")</f>
        <v>1071039454872244229</v>
      </c>
      <c r="F1253" s="12" t="s">
        <v>5631</v>
      </c>
      <c r="G1253" s="11"/>
      <c r="H1253" s="11"/>
      <c r="I1253" s="13">
        <v>0</v>
      </c>
      <c r="J1253" s="13">
        <v>0</v>
      </c>
      <c r="K1253" s="14" t="str">
        <f>HYPERLINK("http://twitter.com","Twitter Web Client")</f>
        <v>Twitter Web Client</v>
      </c>
      <c r="L1253" s="13">
        <v>541</v>
      </c>
      <c r="M1253" s="13">
        <v>906</v>
      </c>
      <c r="N1253" s="13">
        <v>1</v>
      </c>
      <c r="O1253" s="15"/>
      <c r="P1253" s="6">
        <v>42133.790810185186</v>
      </c>
      <c r="Q1253" s="18" t="s">
        <v>42</v>
      </c>
      <c r="R1253" s="19" t="s">
        <v>5632</v>
      </c>
      <c r="S1253" s="12" t="s">
        <v>5633</v>
      </c>
      <c r="T1253" s="11"/>
      <c r="U1253" s="10" t="str">
        <f>HYPERLINK("https://pbs.twimg.com/profile_images/1068062802278055936/BAAuGPti.jpg","View")</f>
        <v>View</v>
      </c>
    </row>
    <row r="1254" spans="1:21" ht="30.6">
      <c r="A1254" s="6">
        <v>43441.618703703702</v>
      </c>
      <c r="B1254" s="7" t="str">
        <f>HYPERLINK("https://twitter.com/CDesparto","@CDesparto")</f>
        <v>@CDesparto</v>
      </c>
      <c r="C1254" s="8" t="s">
        <v>2573</v>
      </c>
      <c r="D1254" s="9" t="s">
        <v>2574</v>
      </c>
      <c r="E1254" s="10" t="str">
        <f>HYPERLINK("https://twitter.com/CDesparto/status/1071039358134874112","1071039358134874112")</f>
        <v>1071039358134874112</v>
      </c>
      <c r="F1254" s="11"/>
      <c r="G1254" s="12" t="s">
        <v>2575</v>
      </c>
      <c r="H1254" s="11"/>
      <c r="I1254" s="13">
        <v>0</v>
      </c>
      <c r="J1254" s="13">
        <v>0</v>
      </c>
      <c r="K1254" s="14" t="str">
        <f>HYPERLINK("http://twitter.com/download/iphone","Twitter for iPhone")</f>
        <v>Twitter for iPhone</v>
      </c>
      <c r="L1254" s="13">
        <v>38</v>
      </c>
      <c r="M1254" s="13">
        <v>180</v>
      </c>
      <c r="N1254" s="13">
        <v>0</v>
      </c>
      <c r="O1254" s="15"/>
      <c r="P1254" s="6">
        <v>43439.377395833333</v>
      </c>
      <c r="Q1254" s="11"/>
      <c r="R1254" s="19" t="s">
        <v>2576</v>
      </c>
      <c r="S1254" s="11"/>
      <c r="T1254" s="11"/>
      <c r="U1254" s="10" t="str">
        <f>HYPERLINK("https://pbs.twimg.com/profile_images/1070228298855272448/wpeAhuLl.jpg","View")</f>
        <v>View</v>
      </c>
    </row>
    <row r="1255" spans="1:21" ht="40.799999999999997">
      <c r="A1255" s="6">
        <v>43441.617627314816</v>
      </c>
      <c r="B1255" s="7" t="str">
        <f>HYPERLINK("https://twitter.com/zemtrigo","@zemtrigo")</f>
        <v>@zemtrigo</v>
      </c>
      <c r="C1255" s="8" t="s">
        <v>5634</v>
      </c>
      <c r="D1255" s="9" t="s">
        <v>5635</v>
      </c>
      <c r="E1255" s="10" t="str">
        <f>HYPERLINK("https://twitter.com/zemtrigo/status/1071038968064602113","1071038968064602113")</f>
        <v>1071038968064602113</v>
      </c>
      <c r="F1255" s="12" t="s">
        <v>5636</v>
      </c>
      <c r="G1255" s="11"/>
      <c r="H1255" s="11"/>
      <c r="I1255" s="13">
        <v>0</v>
      </c>
      <c r="J1255" s="13">
        <v>0</v>
      </c>
      <c r="K1255" s="14" t="str">
        <f>HYPERLINK("http://twitter.com/download/android","Twitter for Android")</f>
        <v>Twitter for Android</v>
      </c>
      <c r="L1255" s="13">
        <v>5</v>
      </c>
      <c r="M1255" s="13">
        <v>20</v>
      </c>
      <c r="N1255" s="13">
        <v>0</v>
      </c>
      <c r="O1255" s="15"/>
      <c r="P1255" s="6">
        <v>42776.952928240746</v>
      </c>
      <c r="Q1255" s="18" t="s">
        <v>5637</v>
      </c>
      <c r="R1255" s="19" t="s">
        <v>5638</v>
      </c>
      <c r="S1255" s="12" t="s">
        <v>5639</v>
      </c>
      <c r="T1255" s="11"/>
      <c r="U1255" s="10" t="str">
        <f>HYPERLINK("https://pbs.twimg.com/profile_images/830194579513151489/7FvgXEVn.jpg","View")</f>
        <v>View</v>
      </c>
    </row>
    <row r="1256" spans="1:21" ht="81.599999999999994">
      <c r="A1256" s="6">
        <v>43441.61755787037</v>
      </c>
      <c r="B1256" s="7" t="str">
        <f>HYPERLINK("https://twitter.com/surmalaga","@surmalaga")</f>
        <v>@surmalaga</v>
      </c>
      <c r="C1256" s="8" t="s">
        <v>2581</v>
      </c>
      <c r="D1256" s="9" t="s">
        <v>2582</v>
      </c>
      <c r="E1256" s="10" t="str">
        <f>HYPERLINK("https://twitter.com/surmalaga/status/1071038943276220416","1071038943276220416")</f>
        <v>1071038943276220416</v>
      </c>
      <c r="F1256" s="12" t="s">
        <v>2584</v>
      </c>
      <c r="G1256" s="12" t="s">
        <v>2585</v>
      </c>
      <c r="H1256" s="11"/>
      <c r="I1256" s="13">
        <v>0</v>
      </c>
      <c r="J1256" s="13">
        <v>0</v>
      </c>
      <c r="K1256" s="14" t="str">
        <f>HYPERLINK("http://twitter.com/download/iphone","Twitter for iPhone")</f>
        <v>Twitter for iPhone</v>
      </c>
      <c r="L1256" s="13">
        <v>128</v>
      </c>
      <c r="M1256" s="13">
        <v>448</v>
      </c>
      <c r="N1256" s="13">
        <v>2</v>
      </c>
      <c r="O1256" s="15"/>
      <c r="P1256" s="6">
        <v>40645.684872685189</v>
      </c>
      <c r="Q1256" s="11"/>
      <c r="R1256" s="17"/>
      <c r="S1256" s="11"/>
      <c r="T1256" s="11"/>
      <c r="U1256" s="10" t="str">
        <f>HYPERLINK("https://pbs.twimg.com/profile_images/1592231190/salar_de_uyuni_2.jpg","View")</f>
        <v>View</v>
      </c>
    </row>
    <row r="1257" spans="1:21" ht="51">
      <c r="A1257" s="6">
        <v>43441.616840277777</v>
      </c>
      <c r="B1257" s="7" t="str">
        <f>HYPERLINK("https://twitter.com/MichelM2000","@MichelM2000")</f>
        <v>@MichelM2000</v>
      </c>
      <c r="C1257" s="8" t="s">
        <v>5640</v>
      </c>
      <c r="D1257" s="9" t="s">
        <v>5641</v>
      </c>
      <c r="E1257" s="10" t="str">
        <f>HYPERLINK("https://twitter.com/MichelM2000/status/1071038682596065281","1071038682596065281")</f>
        <v>1071038682596065281</v>
      </c>
      <c r="F1257" s="18" t="s">
        <v>5642</v>
      </c>
      <c r="G1257" s="11"/>
      <c r="H1257" s="11"/>
      <c r="I1257" s="13">
        <v>0</v>
      </c>
      <c r="J1257" s="13">
        <v>0</v>
      </c>
      <c r="K1257" s="14" t="str">
        <f>HYPERLINK("https://mobile.twitter.com","Twitter Lite")</f>
        <v>Twitter Lite</v>
      </c>
      <c r="L1257" s="13">
        <v>207</v>
      </c>
      <c r="M1257" s="13">
        <v>198</v>
      </c>
      <c r="N1257" s="13">
        <v>9</v>
      </c>
      <c r="O1257" s="15"/>
      <c r="P1257" s="6">
        <v>41094.960752314815</v>
      </c>
      <c r="Q1257" s="18" t="s">
        <v>5643</v>
      </c>
      <c r="R1257" s="19" t="s">
        <v>5644</v>
      </c>
      <c r="S1257" s="11"/>
      <c r="T1257" s="11"/>
      <c r="U1257" s="10" t="str">
        <f>HYPERLINK("https://pbs.twimg.com/profile_images/709080114433277952/GIU6X7VT.jpg","View")</f>
        <v>View</v>
      </c>
    </row>
    <row r="1258" spans="1:21" ht="30.6">
      <c r="A1258" s="6">
        <v>43441.61619212963</v>
      </c>
      <c r="B1258" s="7" t="str">
        <f>HYPERLINK("https://twitter.com/AnaGarcia2Mayo","@AnaGarcia2Mayo")</f>
        <v>@AnaGarcia2Mayo</v>
      </c>
      <c r="C1258" s="8" t="s">
        <v>2589</v>
      </c>
      <c r="D1258" s="9" t="s">
        <v>2590</v>
      </c>
      <c r="E1258" s="10" t="str">
        <f>HYPERLINK("https://twitter.com/AnaGarcia2Mayo/status/1071038449107591168","1071038449107591168")</f>
        <v>1071038449107591168</v>
      </c>
      <c r="F1258" s="12" t="s">
        <v>2591</v>
      </c>
      <c r="G1258" s="11"/>
      <c r="H1258" s="11"/>
      <c r="I1258" s="13">
        <v>0</v>
      </c>
      <c r="J1258" s="13">
        <v>0</v>
      </c>
      <c r="K1258" s="14" t="str">
        <f>HYPERLINK("http://twitter.com/download/android","Twitter for Android")</f>
        <v>Twitter for Android</v>
      </c>
      <c r="L1258" s="13">
        <v>39</v>
      </c>
      <c r="M1258" s="13">
        <v>40</v>
      </c>
      <c r="N1258" s="13">
        <v>0</v>
      </c>
      <c r="O1258" s="15"/>
      <c r="P1258" s="6">
        <v>43409.777951388889</v>
      </c>
      <c r="Q1258" s="18" t="s">
        <v>2594</v>
      </c>
      <c r="R1258" s="17"/>
      <c r="S1258" s="11"/>
      <c r="T1258" s="11"/>
      <c r="U1258" s="10" t="str">
        <f>HYPERLINK("https://pbs.twimg.com/profile_images/1059501607229014016/9vJV2pGE.jpg","View")</f>
        <v>View</v>
      </c>
    </row>
    <row r="1259" spans="1:21" ht="30.6">
      <c r="A1259" s="6">
        <v>43441.616099537037</v>
      </c>
      <c r="B1259" s="7" t="str">
        <f>HYPERLINK("https://twitter.com/Elittista","@Elittista")</f>
        <v>@Elittista</v>
      </c>
      <c r="C1259" s="8" t="s">
        <v>1073</v>
      </c>
      <c r="D1259" s="9" t="s">
        <v>2598</v>
      </c>
      <c r="E1259" s="10" t="str">
        <f>HYPERLINK("https://twitter.com/Elittista/status/1071038414663884805","1071038414663884805")</f>
        <v>1071038414663884805</v>
      </c>
      <c r="F1259" s="12" t="s">
        <v>2599</v>
      </c>
      <c r="G1259" s="12" t="s">
        <v>2600</v>
      </c>
      <c r="H1259" s="11"/>
      <c r="I1259" s="13">
        <v>1</v>
      </c>
      <c r="J1259" s="13">
        <v>1</v>
      </c>
      <c r="K1259" s="14" t="str">
        <f>HYPERLINK("http://twitter.com/download/iphone","Twitter for iPhone")</f>
        <v>Twitter for iPhone</v>
      </c>
      <c r="L1259" s="13">
        <v>444</v>
      </c>
      <c r="M1259" s="13">
        <v>2408</v>
      </c>
      <c r="N1259" s="13">
        <v>5</v>
      </c>
      <c r="O1259" s="15"/>
      <c r="P1259" s="6">
        <v>42683.798460648148</v>
      </c>
      <c r="Q1259" s="18" t="s">
        <v>42</v>
      </c>
      <c r="R1259" s="19" t="s">
        <v>1078</v>
      </c>
      <c r="S1259" s="11"/>
      <c r="T1259" s="11"/>
      <c r="U1259" s="10" t="str">
        <f>HYPERLINK("https://pbs.twimg.com/profile_images/1069353757325123584/vnDlPuuT.jpg","View")</f>
        <v>View</v>
      </c>
    </row>
    <row r="1260" spans="1:21" ht="40.799999999999997">
      <c r="A1260" s="6">
        <v>43441.615868055553</v>
      </c>
      <c r="B1260" s="7" t="str">
        <f>HYPERLINK("https://twitter.com/tuerka_ovt","@tuerka_ovt")</f>
        <v>@tuerka_ovt</v>
      </c>
      <c r="C1260" s="8" t="s">
        <v>4972</v>
      </c>
      <c r="D1260" s="9" t="s">
        <v>5645</v>
      </c>
      <c r="E1260" s="10" t="str">
        <f>HYPERLINK("https://twitter.com/tuerka_ovt/status/1071038330031300609","1071038330031300609")</f>
        <v>1071038330031300609</v>
      </c>
      <c r="F1260" s="11"/>
      <c r="G1260" s="12" t="s">
        <v>5646</v>
      </c>
      <c r="H1260" s="11"/>
      <c r="I1260" s="13">
        <v>53</v>
      </c>
      <c r="J1260" s="13">
        <v>126</v>
      </c>
      <c r="K1260" s="14" t="str">
        <f>HYPERLINK("http://twitter.com","Twitter Web Client")</f>
        <v>Twitter Web Client</v>
      </c>
      <c r="L1260" s="13">
        <v>178587</v>
      </c>
      <c r="M1260" s="13">
        <v>8386</v>
      </c>
      <c r="N1260" s="13">
        <v>1908</v>
      </c>
      <c r="O1260" s="15"/>
      <c r="P1260" s="6">
        <v>40496.799328703702</v>
      </c>
      <c r="Q1260" s="18" t="s">
        <v>307</v>
      </c>
      <c r="R1260" s="19" t="s">
        <v>4975</v>
      </c>
      <c r="S1260" s="11"/>
      <c r="T1260" s="11"/>
      <c r="U1260" s="10" t="str">
        <f>HYPERLINK("https://pbs.twimg.com/profile_images/974345759188504580/InpH7cQq.jpg","View")</f>
        <v>View</v>
      </c>
    </row>
    <row r="1261" spans="1:21" ht="40.799999999999997">
      <c r="A1261" s="6">
        <v>43441.615567129629</v>
      </c>
      <c r="B1261" s="7" t="str">
        <f>HYPERLINK("https://twitter.com/JoaQuim_Torre","@JoaQuim_Torre")</f>
        <v>@JoaQuim_Torre</v>
      </c>
      <c r="C1261" s="8" t="s">
        <v>5647</v>
      </c>
      <c r="D1261" s="9" t="s">
        <v>5648</v>
      </c>
      <c r="E1261" s="10" t="str">
        <f>HYPERLINK("https://twitter.com/JoaQuim_Torre/status/1071038222883610625","1071038222883610625")</f>
        <v>1071038222883610625</v>
      </c>
      <c r="F1261" s="11"/>
      <c r="G1261" s="11"/>
      <c r="H1261" s="11"/>
      <c r="I1261" s="13">
        <v>0</v>
      </c>
      <c r="J1261" s="13">
        <v>0</v>
      </c>
      <c r="K1261" s="14" t="str">
        <f>HYPERLINK("https://mobile.twitter.com","Twitter Lite")</f>
        <v>Twitter Lite</v>
      </c>
      <c r="L1261" s="13">
        <v>273</v>
      </c>
      <c r="M1261" s="13">
        <v>110</v>
      </c>
      <c r="N1261" s="13">
        <v>1</v>
      </c>
      <c r="O1261" s="15"/>
      <c r="P1261" s="6">
        <v>43355.554432870369</v>
      </c>
      <c r="Q1261" s="18" t="s">
        <v>42</v>
      </c>
      <c r="R1261" s="19" t="s">
        <v>5649</v>
      </c>
      <c r="S1261" s="11"/>
      <c r="T1261" s="11"/>
      <c r="U1261" s="10" t="str">
        <f>HYPERLINK("https://pbs.twimg.com/profile_images/1039840344555364352/SYIMGqLS.jpg","View")</f>
        <v>View</v>
      </c>
    </row>
    <row r="1262" spans="1:21" ht="20.399999999999999">
      <c r="A1262" s="6">
        <v>43441.615312499998</v>
      </c>
      <c r="B1262" s="7" t="str">
        <f>HYPERLINK("https://twitter.com/ppapanol","@ppapanol")</f>
        <v>@ppapanol</v>
      </c>
      <c r="C1262" s="8" t="s">
        <v>5650</v>
      </c>
      <c r="D1262" s="9" t="s">
        <v>3314</v>
      </c>
      <c r="E1262" s="10" t="str">
        <f>HYPERLINK("https://twitter.com/ppapanol/status/1071038128822075392","1071038128822075392")</f>
        <v>1071038128822075392</v>
      </c>
      <c r="F1262" s="12" t="s">
        <v>40</v>
      </c>
      <c r="G1262" s="11"/>
      <c r="H1262" s="11"/>
      <c r="I1262" s="13">
        <v>0</v>
      </c>
      <c r="J1262" s="13">
        <v>1</v>
      </c>
      <c r="K1262" s="14" t="str">
        <f>HYPERLINK("http://twitter.com/download/iphone","Twitter for iPhone")</f>
        <v>Twitter for iPhone</v>
      </c>
      <c r="L1262" s="13">
        <v>2046</v>
      </c>
      <c r="M1262" s="13">
        <v>4751</v>
      </c>
      <c r="N1262" s="13">
        <v>14</v>
      </c>
      <c r="O1262" s="15"/>
      <c r="P1262" s="6">
        <v>42334.543576388889</v>
      </c>
      <c r="Q1262" s="11"/>
      <c r="R1262" s="17"/>
      <c r="S1262" s="12" t="s">
        <v>5651</v>
      </c>
      <c r="T1262" s="11"/>
      <c r="U1262" s="10" t="str">
        <f>HYPERLINK("https://pbs.twimg.com/profile_images/669857784943497216/RABWZZ4G.jpg","View")</f>
        <v>View</v>
      </c>
    </row>
    <row r="1263" spans="1:21" ht="71.400000000000006">
      <c r="A1263" s="6">
        <v>43441.614664351851</v>
      </c>
      <c r="B1263" s="7" t="str">
        <f>HYPERLINK("https://twitter.com/javierandradeve","@javierandradeve")</f>
        <v>@javierandradeve</v>
      </c>
      <c r="C1263" s="8" t="s">
        <v>2601</v>
      </c>
      <c r="D1263" s="9" t="s">
        <v>2602</v>
      </c>
      <c r="E1263" s="10" t="str">
        <f>HYPERLINK("https://twitter.com/javierandradeve/status/1071037893609693184","1071037893609693184")</f>
        <v>1071037893609693184</v>
      </c>
      <c r="F1263" s="12" t="s">
        <v>2603</v>
      </c>
      <c r="G1263" s="12" t="s">
        <v>2604</v>
      </c>
      <c r="H1263" s="11"/>
      <c r="I1263" s="13">
        <v>0</v>
      </c>
      <c r="J1263" s="13">
        <v>0</v>
      </c>
      <c r="K1263" s="14" t="str">
        <f>HYPERLINK("http://twitter.com/download/android","Twitter for Android")</f>
        <v>Twitter for Android</v>
      </c>
      <c r="L1263" s="13">
        <v>2012</v>
      </c>
      <c r="M1263" s="13">
        <v>1966</v>
      </c>
      <c r="N1263" s="13">
        <v>3</v>
      </c>
      <c r="O1263" s="15"/>
      <c r="P1263" s="6">
        <v>40700.811249999999</v>
      </c>
      <c r="Q1263" s="18" t="s">
        <v>260</v>
      </c>
      <c r="R1263" s="19" t="s">
        <v>2605</v>
      </c>
      <c r="S1263" s="11"/>
      <c r="T1263" s="11"/>
      <c r="U1263" s="10" t="str">
        <f>HYPERLINK("https://pbs.twimg.com/profile_images/972403164451344384/4EC8p8lT.jpg","View")</f>
        <v>View</v>
      </c>
    </row>
    <row r="1264" spans="1:21" ht="30.6">
      <c r="A1264" s="6">
        <v>43441.613159722227</v>
      </c>
      <c r="B1264" s="7" t="str">
        <f>HYPERLINK("https://twitter.com/Alatriste_66","@Alatriste_66")</f>
        <v>@Alatriste_66</v>
      </c>
      <c r="C1264" s="8" t="s">
        <v>5652</v>
      </c>
      <c r="D1264" s="9" t="s">
        <v>5653</v>
      </c>
      <c r="E1264" s="10" t="str">
        <f>HYPERLINK("https://twitter.com/Alatriste_66/status/1071037348585070592","1071037348585070592")</f>
        <v>1071037348585070592</v>
      </c>
      <c r="F1264" s="11"/>
      <c r="G1264" s="11"/>
      <c r="H1264" s="11"/>
      <c r="I1264" s="13">
        <v>0</v>
      </c>
      <c r="J1264" s="13">
        <v>0</v>
      </c>
      <c r="K1264" s="14" t="str">
        <f>HYPERLINK("http://twitter.com/download/iphone","Twitter for iPhone")</f>
        <v>Twitter for iPhone</v>
      </c>
      <c r="L1264" s="13">
        <v>1516</v>
      </c>
      <c r="M1264" s="13">
        <v>963</v>
      </c>
      <c r="N1264" s="13">
        <v>21</v>
      </c>
      <c r="O1264" s="15"/>
      <c r="P1264" s="6">
        <v>40462.828692129631</v>
      </c>
      <c r="Q1264" s="11"/>
      <c r="R1264" s="19" t="s">
        <v>5654</v>
      </c>
      <c r="S1264" s="11"/>
      <c r="T1264" s="11"/>
      <c r="U1264" s="10" t="str">
        <f>HYPERLINK("https://pbs.twimg.com/profile_images/1064082818651824128/k-TnRDbj.jpg","View")</f>
        <v>View</v>
      </c>
    </row>
    <row r="1265" spans="1:21" ht="20.399999999999999">
      <c r="A1265" s="6">
        <v>43441.613113425927</v>
      </c>
      <c r="B1265" s="7" t="str">
        <f>HYPERLINK("https://twitter.com/LaHungara77","@LaHungara77")</f>
        <v>@LaHungara77</v>
      </c>
      <c r="C1265" s="8" t="s">
        <v>5655</v>
      </c>
      <c r="D1265" s="9" t="s">
        <v>3010</v>
      </c>
      <c r="E1265" s="10" t="str">
        <f>HYPERLINK("https://twitter.com/LaHungara77/status/1071037331187134465","1071037331187134465")</f>
        <v>1071037331187134465</v>
      </c>
      <c r="F1265" s="12" t="s">
        <v>3011</v>
      </c>
      <c r="G1265" s="11"/>
      <c r="H1265" s="11"/>
      <c r="I1265" s="13">
        <v>0</v>
      </c>
      <c r="J1265" s="13">
        <v>0</v>
      </c>
      <c r="K1265" s="14" t="str">
        <f t="shared" ref="K1265:K1267" si="222">HYPERLINK("http://twitter.com","Twitter Web Client")</f>
        <v>Twitter Web Client</v>
      </c>
      <c r="L1265" s="13">
        <v>208</v>
      </c>
      <c r="M1265" s="13">
        <v>558</v>
      </c>
      <c r="N1265" s="13">
        <v>1</v>
      </c>
      <c r="O1265" s="15"/>
      <c r="P1265" s="6">
        <v>43156.980729166666</v>
      </c>
      <c r="Q1265" s="11"/>
      <c r="R1265" s="17"/>
      <c r="S1265" s="11"/>
      <c r="T1265" s="11"/>
      <c r="U1265" s="10" t="str">
        <f>HYPERLINK("https://pbs.twimg.com/profile_images/1006939069010542598/h5qF9Zkn.jpg","View")</f>
        <v>View</v>
      </c>
    </row>
    <row r="1266" spans="1:21" ht="30.6">
      <c r="A1266" s="6">
        <v>43441.61204861111</v>
      </c>
      <c r="B1266" s="7" t="str">
        <f>HYPERLINK("https://twitter.com/Concepc98510820","@Concepc98510820")</f>
        <v>@Concepc98510820</v>
      </c>
      <c r="C1266" s="8" t="s">
        <v>5656</v>
      </c>
      <c r="D1266" s="9" t="s">
        <v>39</v>
      </c>
      <c r="E1266" s="10" t="str">
        <f>HYPERLINK("https://twitter.com/Concepc98510820/status/1071036944472305664","1071036944472305664")</f>
        <v>1071036944472305664</v>
      </c>
      <c r="F1266" s="12" t="s">
        <v>40</v>
      </c>
      <c r="G1266" s="11"/>
      <c r="H1266" s="11"/>
      <c r="I1266" s="13">
        <v>0</v>
      </c>
      <c r="J1266" s="13">
        <v>1</v>
      </c>
      <c r="K1266" s="14" t="str">
        <f t="shared" si="222"/>
        <v>Twitter Web Client</v>
      </c>
      <c r="L1266" s="13">
        <v>739</v>
      </c>
      <c r="M1266" s="13">
        <v>339</v>
      </c>
      <c r="N1266" s="13">
        <v>3</v>
      </c>
      <c r="O1266" s="15"/>
      <c r="P1266" s="6">
        <v>43000.366782407407</v>
      </c>
      <c r="Q1266" s="11"/>
      <c r="R1266" s="19" t="s">
        <v>5657</v>
      </c>
      <c r="S1266" s="11"/>
      <c r="T1266" s="11"/>
      <c r="U1266" s="10" t="str">
        <f>HYPERLINK("https://pbs.twimg.com/profile_images/1012999387205832704/BtuOFMFu.jpg","View")</f>
        <v>View</v>
      </c>
    </row>
    <row r="1267" spans="1:21" ht="40.799999999999997">
      <c r="A1267" s="6">
        <v>43441.60869212963</v>
      </c>
      <c r="B1267" s="7" t="str">
        <f>HYPERLINK("https://twitter.com/YColombiana","@YColombiana")</f>
        <v>@YColombiana</v>
      </c>
      <c r="C1267" s="8" t="s">
        <v>2606</v>
      </c>
      <c r="D1267" s="9" t="s">
        <v>2607</v>
      </c>
      <c r="E1267" s="10" t="str">
        <f>HYPERLINK("https://twitter.com/YColombiana/status/1071035730607202304","1071035730607202304")</f>
        <v>1071035730607202304</v>
      </c>
      <c r="F1267" s="11"/>
      <c r="G1267" s="11"/>
      <c r="H1267" s="11"/>
      <c r="I1267" s="13">
        <v>0</v>
      </c>
      <c r="J1267" s="13">
        <v>0</v>
      </c>
      <c r="K1267" s="14" t="str">
        <f t="shared" si="222"/>
        <v>Twitter Web Client</v>
      </c>
      <c r="L1267" s="13">
        <v>24</v>
      </c>
      <c r="M1267" s="13">
        <v>210</v>
      </c>
      <c r="N1267" s="13">
        <v>0</v>
      </c>
      <c r="O1267" s="15"/>
      <c r="P1267" s="6">
        <v>41444.756689814814</v>
      </c>
      <c r="Q1267" s="18" t="s">
        <v>2608</v>
      </c>
      <c r="R1267" s="19" t="s">
        <v>2609</v>
      </c>
      <c r="S1267" s="11"/>
      <c r="T1267" s="11"/>
      <c r="U1267" s="10" t="str">
        <f>HYPERLINK("https://pbs.twimg.com/profile_images/470217335455088641/mCdhkkij.jpeg","View")</f>
        <v>View</v>
      </c>
    </row>
    <row r="1268" spans="1:21" ht="30.6">
      <c r="A1268" s="6">
        <v>43441.60837962963</v>
      </c>
      <c r="B1268" s="7" t="str">
        <f>HYPERLINK("https://twitter.com/diazdelcampos","@diazdelcampos")</f>
        <v>@diazdelcampos</v>
      </c>
      <c r="C1268" s="8" t="s">
        <v>5658</v>
      </c>
      <c r="D1268" s="9" t="s">
        <v>5659</v>
      </c>
      <c r="E1268" s="10" t="str">
        <f>HYPERLINK("https://twitter.com/diazdelcampos/status/1071035614739484675","1071035614739484675")</f>
        <v>1071035614739484675</v>
      </c>
      <c r="F1268" s="11"/>
      <c r="G1268" s="11"/>
      <c r="H1268" s="11"/>
      <c r="I1268" s="13">
        <v>0</v>
      </c>
      <c r="J1268" s="13">
        <v>2</v>
      </c>
      <c r="K1268" s="14" t="str">
        <f t="shared" ref="K1268:K1270" si="223">HYPERLINK("http://twitter.com/download/android","Twitter for Android")</f>
        <v>Twitter for Android</v>
      </c>
      <c r="L1268" s="13">
        <v>20</v>
      </c>
      <c r="M1268" s="13">
        <v>29</v>
      </c>
      <c r="N1268" s="13">
        <v>0</v>
      </c>
      <c r="O1268" s="15"/>
      <c r="P1268" s="6">
        <v>41771.892407407409</v>
      </c>
      <c r="Q1268" s="11"/>
      <c r="R1268" s="17"/>
      <c r="S1268" s="11"/>
      <c r="T1268" s="11"/>
      <c r="U1268" s="10" t="str">
        <f>HYPERLINK("https://pbs.twimg.com/profile_images/573395739788910592/7XicWg_-.jpeg","View")</f>
        <v>View</v>
      </c>
    </row>
    <row r="1269" spans="1:21" ht="61.2">
      <c r="A1269" s="6">
        <v>43441.607893518521</v>
      </c>
      <c r="B1269" s="7" t="str">
        <f>HYPERLINK("https://twitter.com/EdificadosenEl","@EdificadosenEl")</f>
        <v>@EdificadosenEl</v>
      </c>
      <c r="C1269" s="8" t="s">
        <v>4739</v>
      </c>
      <c r="D1269" s="9" t="s">
        <v>5660</v>
      </c>
      <c r="E1269" s="10" t="str">
        <f>HYPERLINK("https://twitter.com/EdificadosenEl/status/1071035441980293121","1071035441980293121")</f>
        <v>1071035441980293121</v>
      </c>
      <c r="F1269" s="12" t="s">
        <v>3258</v>
      </c>
      <c r="G1269" s="12" t="s">
        <v>5661</v>
      </c>
      <c r="H1269" s="11"/>
      <c r="I1269" s="13">
        <v>0</v>
      </c>
      <c r="J1269" s="13">
        <v>0</v>
      </c>
      <c r="K1269" s="14" t="str">
        <f t="shared" si="223"/>
        <v>Twitter for Android</v>
      </c>
      <c r="L1269" s="13">
        <v>32</v>
      </c>
      <c r="M1269" s="13">
        <v>84</v>
      </c>
      <c r="N1269" s="13">
        <v>1</v>
      </c>
      <c r="O1269" s="15"/>
      <c r="P1269" s="6">
        <v>43259.915497685186</v>
      </c>
      <c r="Q1269" s="18" t="s">
        <v>4742</v>
      </c>
      <c r="R1269" s="19" t="s">
        <v>4743</v>
      </c>
      <c r="S1269" s="11"/>
      <c r="T1269" s="11"/>
      <c r="U1269" s="10" t="str">
        <f>HYPERLINK("https://pbs.twimg.com/profile_images/1062507055892836352/iYw4FUql.jpg","View")</f>
        <v>View</v>
      </c>
    </row>
    <row r="1270" spans="1:21" ht="30.6">
      <c r="A1270" s="6">
        <v>43441.607037037036</v>
      </c>
      <c r="B1270" s="7" t="str">
        <f>HYPERLINK("https://twitter.com/Mllerena3","@Mllerena3")</f>
        <v>@Mllerena3</v>
      </c>
      <c r="C1270" s="8" t="s">
        <v>5662</v>
      </c>
      <c r="D1270" s="9" t="s">
        <v>5663</v>
      </c>
      <c r="E1270" s="10" t="str">
        <f>HYPERLINK("https://twitter.com/Mllerena3/status/1071035130549035008","1071035130549035008")</f>
        <v>1071035130549035008</v>
      </c>
      <c r="F1270" s="11"/>
      <c r="G1270" s="12" t="s">
        <v>5664</v>
      </c>
      <c r="H1270" s="11"/>
      <c r="I1270" s="13">
        <v>1</v>
      </c>
      <c r="J1270" s="13">
        <v>1</v>
      </c>
      <c r="K1270" s="14" t="str">
        <f t="shared" si="223"/>
        <v>Twitter for Android</v>
      </c>
      <c r="L1270" s="13">
        <v>19</v>
      </c>
      <c r="M1270" s="13">
        <v>77</v>
      </c>
      <c r="N1270" s="13">
        <v>0</v>
      </c>
      <c r="O1270" s="15"/>
      <c r="P1270" s="6">
        <v>43405.935162037036</v>
      </c>
      <c r="Q1270" s="11"/>
      <c r="R1270" s="17"/>
      <c r="S1270" s="11"/>
      <c r="T1270" s="11"/>
      <c r="U1270" s="16" t="s">
        <v>191</v>
      </c>
    </row>
    <row r="1271" spans="1:21" ht="51">
      <c r="A1271" s="6">
        <v>43441.606585648144</v>
      </c>
      <c r="B1271" s="7" t="str">
        <f>HYPERLINK("https://twitter.com/chatbotempresas","@chatbotempresas")</f>
        <v>@chatbotempresas</v>
      </c>
      <c r="C1271" s="8" t="s">
        <v>2611</v>
      </c>
      <c r="D1271" s="9" t="s">
        <v>2612</v>
      </c>
      <c r="E1271" s="10" t="str">
        <f>HYPERLINK("https://twitter.com/chatbotempresas/status/1071034965704491009","1071034965704491009")</f>
        <v>1071034965704491009</v>
      </c>
      <c r="F1271" s="11"/>
      <c r="G1271" s="12" t="s">
        <v>2613</v>
      </c>
      <c r="H1271" s="11"/>
      <c r="I1271" s="13">
        <v>0</v>
      </c>
      <c r="J1271" s="13">
        <v>0</v>
      </c>
      <c r="K1271" s="14" t="str">
        <f>HYPERLINK("https://ifttt.com","IFTTT")</f>
        <v>IFTTT</v>
      </c>
      <c r="L1271" s="13">
        <v>43</v>
      </c>
      <c r="M1271" s="13">
        <v>94</v>
      </c>
      <c r="N1271" s="13">
        <v>2</v>
      </c>
      <c r="O1271" s="15"/>
      <c r="P1271" s="6">
        <v>42905.918240740742</v>
      </c>
      <c r="Q1271" s="11"/>
      <c r="R1271" s="19" t="s">
        <v>2614</v>
      </c>
      <c r="S1271" s="11"/>
      <c r="T1271" s="11"/>
      <c r="U1271" s="10" t="str">
        <f>HYPERLINK("https://pbs.twimg.com/profile_images/898270074481426432/0JImBaVq.jpg","View")</f>
        <v>View</v>
      </c>
    </row>
    <row r="1272" spans="1:21" ht="30.6">
      <c r="A1272" s="6">
        <v>43441.605057870373</v>
      </c>
      <c r="B1272" s="7" t="str">
        <f>HYPERLINK("https://twitter.com/construyexitos","@construyexitos")</f>
        <v>@construyexitos</v>
      </c>
      <c r="C1272" s="8" t="s">
        <v>2063</v>
      </c>
      <c r="D1272" s="9" t="s">
        <v>5665</v>
      </c>
      <c r="E1272" s="10" t="str">
        <f>HYPERLINK("https://twitter.com/construyexitos/status/1071034411561484289","1071034411561484289")</f>
        <v>1071034411561484289</v>
      </c>
      <c r="F1272" s="18" t="s">
        <v>2466</v>
      </c>
      <c r="G1272" s="11"/>
      <c r="H1272" s="11"/>
      <c r="I1272" s="13">
        <v>1</v>
      </c>
      <c r="J1272" s="13">
        <v>0</v>
      </c>
      <c r="K1272" s="14" t="str">
        <f t="shared" ref="K1272:K1273" si="224">HYPERLINK("http://twitter.com/download/android","Twitter for Android")</f>
        <v>Twitter for Android</v>
      </c>
      <c r="L1272" s="13">
        <v>4456</v>
      </c>
      <c r="M1272" s="13">
        <v>4545</v>
      </c>
      <c r="N1272" s="13">
        <v>16</v>
      </c>
      <c r="O1272" s="15"/>
      <c r="P1272" s="6">
        <v>40549.987187500003</v>
      </c>
      <c r="Q1272" s="11"/>
      <c r="R1272" s="19" t="s">
        <v>2068</v>
      </c>
      <c r="S1272" s="11"/>
      <c r="T1272" s="11"/>
      <c r="U1272" s="10" t="str">
        <f>HYPERLINK("https://pbs.twimg.com/profile_images/2892203399/6a265595e6aeedf9586886d1b1191708.jpeg","View")</f>
        <v>View</v>
      </c>
    </row>
    <row r="1273" spans="1:21" ht="40.799999999999997">
      <c r="A1273" s="6">
        <v>43441.604166666672</v>
      </c>
      <c r="B1273" s="7" t="str">
        <f>HYPERLINK("https://twitter.com/antonimanchado","@antonimanchado")</f>
        <v>@antonimanchado</v>
      </c>
      <c r="C1273" s="8" t="s">
        <v>2615</v>
      </c>
      <c r="D1273" s="9" t="s">
        <v>2616</v>
      </c>
      <c r="E1273" s="10" t="str">
        <f>HYPERLINK("https://twitter.com/antonimanchado/status/1071034090231685121","1071034090231685121")</f>
        <v>1071034090231685121</v>
      </c>
      <c r="F1273" s="11"/>
      <c r="G1273" s="11"/>
      <c r="H1273" s="11"/>
      <c r="I1273" s="13">
        <v>0</v>
      </c>
      <c r="J1273" s="13">
        <v>0</v>
      </c>
      <c r="K1273" s="14" t="str">
        <f t="shared" si="224"/>
        <v>Twitter for Android</v>
      </c>
      <c r="L1273" s="13">
        <v>3869</v>
      </c>
      <c r="M1273" s="13">
        <v>2578</v>
      </c>
      <c r="N1273" s="13">
        <v>301</v>
      </c>
      <c r="O1273" s="15"/>
      <c r="P1273" s="6">
        <v>39636.017685185187</v>
      </c>
      <c r="Q1273" s="18" t="s">
        <v>2619</v>
      </c>
      <c r="R1273" s="19" t="s">
        <v>2620</v>
      </c>
      <c r="S1273" s="12" t="s">
        <v>2621</v>
      </c>
      <c r="T1273" s="11"/>
      <c r="U1273" s="10" t="str">
        <f>HYPERLINK("https://pbs.twimg.com/profile_images/1070051848613179392/gb-LGeUC.jpg","View")</f>
        <v>View</v>
      </c>
    </row>
    <row r="1274" spans="1:21" ht="40.799999999999997">
      <c r="A1274" s="6">
        <v>43441.604155092587</v>
      </c>
      <c r="B1274" s="7" t="str">
        <f>HYPERLINK("https://twitter.com/valenciaoberta","@valenciaoberta")</f>
        <v>@valenciaoberta</v>
      </c>
      <c r="C1274" s="8" t="s">
        <v>5666</v>
      </c>
      <c r="D1274" s="9" t="s">
        <v>5667</v>
      </c>
      <c r="E1274" s="10" t="str">
        <f>HYPERLINK("https://twitter.com/valenciaoberta/status/1071034084946780160","1071034084946780160")</f>
        <v>1071034084946780160</v>
      </c>
      <c r="F1274" s="12" t="s">
        <v>5668</v>
      </c>
      <c r="G1274" s="11"/>
      <c r="H1274" s="11"/>
      <c r="I1274" s="13">
        <v>9</v>
      </c>
      <c r="J1274" s="13">
        <v>2</v>
      </c>
      <c r="K1274" s="14" t="str">
        <f>HYPERLINK("http://www.facebook.com/twitter","Facebook")</f>
        <v>Facebook</v>
      </c>
      <c r="L1274" s="13">
        <v>4944</v>
      </c>
      <c r="M1274" s="13">
        <v>5209</v>
      </c>
      <c r="N1274" s="13">
        <v>90</v>
      </c>
      <c r="O1274" s="15"/>
      <c r="P1274" s="6">
        <v>41708.994409722218</v>
      </c>
      <c r="Q1274" s="18" t="s">
        <v>5390</v>
      </c>
      <c r="R1274" s="19" t="s">
        <v>5669</v>
      </c>
      <c r="S1274" s="11"/>
      <c r="T1274" s="11"/>
      <c r="U1274" s="10" t="str">
        <f>HYPERLINK("https://pbs.twimg.com/profile_images/1067926839249776642/y1tJ6Ed3.jpg","View")</f>
        <v>View</v>
      </c>
    </row>
    <row r="1275" spans="1:21" ht="112.2">
      <c r="A1275" s="6">
        <v>43441.604016203702</v>
      </c>
      <c r="B1275" s="7" t="str">
        <f>HYPERLINK("https://twitter.com/CarlosZayasESP","@CarlosZayasESP")</f>
        <v>@CarlosZayasESP</v>
      </c>
      <c r="C1275" s="8" t="s">
        <v>2625</v>
      </c>
      <c r="D1275" s="9" t="s">
        <v>2626</v>
      </c>
      <c r="E1275" s="10" t="str">
        <f>HYPERLINK("https://twitter.com/CarlosZayasESP/status/1071034034535456769","1071034034535456769")</f>
        <v>1071034034535456769</v>
      </c>
      <c r="F1275" s="12" t="s">
        <v>2627</v>
      </c>
      <c r="G1275" s="12" t="s">
        <v>2628</v>
      </c>
      <c r="H1275" s="11"/>
      <c r="I1275" s="13">
        <v>1</v>
      </c>
      <c r="J1275" s="13">
        <v>3</v>
      </c>
      <c r="K1275" s="14" t="str">
        <f>HYPERLINK("http://twitter.com/download/android","Twitter for Android")</f>
        <v>Twitter for Android</v>
      </c>
      <c r="L1275" s="13">
        <v>1504</v>
      </c>
      <c r="M1275" s="13">
        <v>2206</v>
      </c>
      <c r="N1275" s="13">
        <v>10</v>
      </c>
      <c r="O1275" s="15"/>
      <c r="P1275" s="6">
        <v>42429.384409722217</v>
      </c>
      <c r="Q1275" s="18" t="s">
        <v>2630</v>
      </c>
      <c r="R1275" s="19" t="s">
        <v>2631</v>
      </c>
      <c r="S1275" s="11"/>
      <c r="T1275" s="11"/>
      <c r="U1275" s="10" t="str">
        <f>HYPERLINK("https://pbs.twimg.com/profile_images/704218601981612032/QmnajuhY.jpg","View")</f>
        <v>View</v>
      </c>
    </row>
    <row r="1276" spans="1:21" ht="51">
      <c r="A1276" s="6">
        <v>43441.603495370371</v>
      </c>
      <c r="B1276" s="7" t="str">
        <f>HYPERLINK("https://twitter.com/AhoraCantabria","@AhoraCantabria")</f>
        <v>@AhoraCantabria</v>
      </c>
      <c r="C1276" s="8" t="s">
        <v>3104</v>
      </c>
      <c r="D1276" s="9" t="s">
        <v>5670</v>
      </c>
      <c r="E1276" s="10" t="str">
        <f>HYPERLINK("https://twitter.com/AhoraCantabria/status/1071033845955342337","1071033845955342337")</f>
        <v>1071033845955342337</v>
      </c>
      <c r="F1276" s="11"/>
      <c r="G1276" s="12" t="s">
        <v>5671</v>
      </c>
      <c r="H1276" s="11"/>
      <c r="I1276" s="13">
        <v>0</v>
      </c>
      <c r="J1276" s="13">
        <v>1</v>
      </c>
      <c r="K1276" s="14" t="str">
        <f>HYPERLINK("https://buffer.com","Buffer")</f>
        <v>Buffer</v>
      </c>
      <c r="L1276" s="13">
        <v>8608</v>
      </c>
      <c r="M1276" s="13">
        <v>1423</v>
      </c>
      <c r="N1276" s="13">
        <v>134</v>
      </c>
      <c r="O1276" s="15"/>
      <c r="P1276" s="6">
        <v>41200.829687500001</v>
      </c>
      <c r="Q1276" s="18" t="s">
        <v>3108</v>
      </c>
      <c r="R1276" s="19" t="s">
        <v>3109</v>
      </c>
      <c r="S1276" s="12" t="s">
        <v>3110</v>
      </c>
      <c r="T1276" s="11"/>
      <c r="U1276" s="10" t="str">
        <f>HYPERLINK("https://pbs.twimg.com/profile_images/978940959617617922/UqYGk2Wc.jpg","View")</f>
        <v>View</v>
      </c>
    </row>
    <row r="1277" spans="1:21" ht="112.2">
      <c r="A1277" s="6">
        <v>43441.602870370371</v>
      </c>
      <c r="B1277" s="7" t="str">
        <f>HYPERLINK("https://twitter.com/HOPE443135511","@HOPE443135511")</f>
        <v>@HOPE443135511</v>
      </c>
      <c r="C1277" s="8" t="s">
        <v>2410</v>
      </c>
      <c r="D1277" s="9" t="s">
        <v>2632</v>
      </c>
      <c r="E1277" s="10" t="str">
        <f>HYPERLINK("https://twitter.com/HOPE443135511/status/1071033620427616256","1071033620427616256")</f>
        <v>1071033620427616256</v>
      </c>
      <c r="F1277" s="12" t="s">
        <v>734</v>
      </c>
      <c r="G1277" s="12" t="s">
        <v>735</v>
      </c>
      <c r="H1277" s="11"/>
      <c r="I1277" s="13">
        <v>1</v>
      </c>
      <c r="J1277" s="13">
        <v>2</v>
      </c>
      <c r="K1277" s="14" t="str">
        <f>HYPERLINK("http://twitter.com/download/android","Twitter for Android")</f>
        <v>Twitter for Android</v>
      </c>
      <c r="L1277" s="13">
        <v>121</v>
      </c>
      <c r="M1277" s="13">
        <v>109</v>
      </c>
      <c r="N1277" s="13">
        <v>3</v>
      </c>
      <c r="O1277" s="15"/>
      <c r="P1277" s="6">
        <v>43153.742974537032</v>
      </c>
      <c r="Q1277" s="11"/>
      <c r="R1277" s="19" t="s">
        <v>2414</v>
      </c>
      <c r="S1277" s="11"/>
      <c r="T1277" s="11"/>
      <c r="U1277" s="10" t="str">
        <f>HYPERLINK("https://pbs.twimg.com/profile_images/1070311184618938370/k-6b5nJv.jpg","View")</f>
        <v>View</v>
      </c>
    </row>
    <row r="1278" spans="1:21" ht="51">
      <c r="A1278" s="6">
        <v>43441.602777777778</v>
      </c>
      <c r="B1278" s="7" t="str">
        <f>HYPERLINK("https://twitter.com/Pablo_Iglesias_","@Pablo_Iglesias_")</f>
        <v>@Pablo_Iglesias_</v>
      </c>
      <c r="C1278" s="8" t="s">
        <v>1532</v>
      </c>
      <c r="D1278" s="9" t="s">
        <v>5672</v>
      </c>
      <c r="E1278" s="10" t="str">
        <f>HYPERLINK("https://twitter.com/Pablo_Iglesias_/status/1071033588257300482","1071033588257300482")</f>
        <v>1071033588257300482</v>
      </c>
      <c r="F1278" s="12" t="s">
        <v>5673</v>
      </c>
      <c r="G1278" s="12" t="s">
        <v>2613</v>
      </c>
      <c r="H1278" s="11"/>
      <c r="I1278" s="13">
        <v>629</v>
      </c>
      <c r="J1278" s="13">
        <v>1491</v>
      </c>
      <c r="K1278" s="14" t="str">
        <f t="shared" ref="K1278:K1280" si="225">HYPERLINK("http://twitter.com","Twitter Web Client")</f>
        <v>Twitter Web Client</v>
      </c>
      <c r="L1278" s="13">
        <v>2243645</v>
      </c>
      <c r="M1278" s="13">
        <v>2745</v>
      </c>
      <c r="N1278" s="13">
        <v>8492</v>
      </c>
      <c r="O1278" s="16" t="s">
        <v>25</v>
      </c>
      <c r="P1278" s="6">
        <v>40351.575300925928</v>
      </c>
      <c r="Q1278" s="18" t="s">
        <v>307</v>
      </c>
      <c r="R1278" s="19" t="s">
        <v>1538</v>
      </c>
      <c r="S1278" s="12" t="s">
        <v>1539</v>
      </c>
      <c r="T1278" s="11"/>
      <c r="U1278" s="10" t="str">
        <f>HYPERLINK("https://pbs.twimg.com/profile_images/902223370569338884/dL2D2A5P.jpg","View")</f>
        <v>View</v>
      </c>
    </row>
    <row r="1279" spans="1:21" ht="40.799999999999997">
      <c r="A1279" s="6">
        <v>43441.6015625</v>
      </c>
      <c r="B1279" s="7" t="str">
        <f>HYPERLINK("https://twitter.com/FJVillalvilla","@FJVillalvilla")</f>
        <v>@FJVillalvilla</v>
      </c>
      <c r="C1279" s="8" t="s">
        <v>5674</v>
      </c>
      <c r="D1279" s="9" t="s">
        <v>5675</v>
      </c>
      <c r="E1279" s="10" t="str">
        <f>HYPERLINK("https://twitter.com/FJVillalvilla/status/1071033146169274370","1071033146169274370")</f>
        <v>1071033146169274370</v>
      </c>
      <c r="F1279" s="12" t="s">
        <v>5676</v>
      </c>
      <c r="G1279" s="11"/>
      <c r="H1279" s="11"/>
      <c r="I1279" s="13">
        <v>0</v>
      </c>
      <c r="J1279" s="13">
        <v>0</v>
      </c>
      <c r="K1279" s="14" t="str">
        <f t="shared" si="225"/>
        <v>Twitter Web Client</v>
      </c>
      <c r="L1279" s="13">
        <v>1413</v>
      </c>
      <c r="M1279" s="13">
        <v>1244</v>
      </c>
      <c r="N1279" s="13">
        <v>71</v>
      </c>
      <c r="O1279" s="15"/>
      <c r="P1279" s="6">
        <v>40646.738877314812</v>
      </c>
      <c r="Q1279" s="18" t="s">
        <v>5677</v>
      </c>
      <c r="R1279" s="19" t="s">
        <v>5678</v>
      </c>
      <c r="S1279" s="11"/>
      <c r="T1279" s="11"/>
      <c r="U1279" s="10" t="str">
        <f>HYPERLINK("https://pbs.twimg.com/profile_images/1002896281553993728/-dwfjt-O.jpg","View")</f>
        <v>View</v>
      </c>
    </row>
    <row r="1280" spans="1:21" ht="61.2">
      <c r="A1280" s="6">
        <v>43441.600046296298</v>
      </c>
      <c r="B1280" s="7" t="str">
        <f>HYPERLINK("https://twitter.com/andresantheus","@andresantheus")</f>
        <v>@andresantheus</v>
      </c>
      <c r="C1280" s="8" t="s">
        <v>1778</v>
      </c>
      <c r="D1280" s="9" t="s">
        <v>2637</v>
      </c>
      <c r="E1280" s="10" t="str">
        <f>HYPERLINK("https://twitter.com/andresantheus/status/1071032597873074183","1071032597873074183")</f>
        <v>1071032597873074183</v>
      </c>
      <c r="F1280" s="11"/>
      <c r="G1280" s="11"/>
      <c r="H1280" s="11"/>
      <c r="I1280" s="13">
        <v>0</v>
      </c>
      <c r="J1280" s="13">
        <v>0</v>
      </c>
      <c r="K1280" s="14" t="str">
        <f t="shared" si="225"/>
        <v>Twitter Web Client</v>
      </c>
      <c r="L1280" s="13">
        <v>86</v>
      </c>
      <c r="M1280" s="13">
        <v>672</v>
      </c>
      <c r="N1280" s="13">
        <v>5</v>
      </c>
      <c r="O1280" s="15"/>
      <c r="P1280" s="6">
        <v>40801.721168981479</v>
      </c>
      <c r="Q1280" s="18" t="s">
        <v>1781</v>
      </c>
      <c r="R1280" s="19" t="s">
        <v>1782</v>
      </c>
      <c r="S1280" s="11"/>
      <c r="T1280" s="11"/>
      <c r="U1280" s="10" t="str">
        <f>HYPERLINK("https://pbs.twimg.com/profile_images/747500591061012480/qORAtf-h.jpg","View")</f>
        <v>View</v>
      </c>
    </row>
    <row r="1281" spans="1:21" ht="51">
      <c r="A1281" s="6">
        <v>43441.599340277782</v>
      </c>
      <c r="B1281" s="7" t="str">
        <f>HYPERLINK("https://twitter.com/xvilabellam","@xvilabellam")</f>
        <v>@xvilabellam</v>
      </c>
      <c r="C1281" s="8" t="s">
        <v>2644</v>
      </c>
      <c r="D1281" s="9" t="s">
        <v>2645</v>
      </c>
      <c r="E1281" s="10" t="str">
        <f>HYPERLINK("https://twitter.com/xvilabellam/status/1071032341592715264","1071032341592715264")</f>
        <v>1071032341592715264</v>
      </c>
      <c r="F1281" s="12" t="s">
        <v>2647</v>
      </c>
      <c r="G1281" s="11"/>
      <c r="H1281" s="11"/>
      <c r="I1281" s="13">
        <v>0</v>
      </c>
      <c r="J1281" s="13">
        <v>0</v>
      </c>
      <c r="K1281" s="14" t="str">
        <f t="shared" ref="K1281:K1283" si="226">HYPERLINK("http://twitter.com/download/android","Twitter for Android")</f>
        <v>Twitter for Android</v>
      </c>
      <c r="L1281" s="13">
        <v>139</v>
      </c>
      <c r="M1281" s="13">
        <v>119</v>
      </c>
      <c r="N1281" s="13">
        <v>0</v>
      </c>
      <c r="O1281" s="15"/>
      <c r="P1281" s="6">
        <v>40837.419664351852</v>
      </c>
      <c r="Q1281" s="11"/>
      <c r="R1281" s="19" t="s">
        <v>2650</v>
      </c>
      <c r="S1281" s="11"/>
      <c r="T1281" s="11"/>
      <c r="U1281" s="10" t="str">
        <f>HYPERLINK("https://pbs.twimg.com/profile_images/1001937259883581440/AuQbEvlk.jpg","View")</f>
        <v>View</v>
      </c>
    </row>
    <row r="1282" spans="1:21" ht="20.399999999999999">
      <c r="A1282" s="6">
        <v>43441.599166666667</v>
      </c>
      <c r="B1282" s="7" t="str">
        <f>HYPERLINK("https://twitter.com/rouco64","@rouco64")</f>
        <v>@rouco64</v>
      </c>
      <c r="C1282" s="8" t="s">
        <v>5679</v>
      </c>
      <c r="D1282" s="9" t="s">
        <v>5680</v>
      </c>
      <c r="E1282" s="10" t="str">
        <f>HYPERLINK("https://twitter.com/rouco64/status/1071032276908150784","1071032276908150784")</f>
        <v>1071032276908150784</v>
      </c>
      <c r="F1282" s="11"/>
      <c r="G1282" s="12" t="s">
        <v>1488</v>
      </c>
      <c r="H1282" s="11"/>
      <c r="I1282" s="13">
        <v>410</v>
      </c>
      <c r="J1282" s="13">
        <v>334</v>
      </c>
      <c r="K1282" s="14" t="str">
        <f t="shared" si="226"/>
        <v>Twitter for Android</v>
      </c>
      <c r="L1282" s="13">
        <v>8284</v>
      </c>
      <c r="M1282" s="13">
        <v>1918</v>
      </c>
      <c r="N1282" s="13">
        <v>51</v>
      </c>
      <c r="O1282" s="15"/>
      <c r="P1282" s="6">
        <v>41921.588240740741</v>
      </c>
      <c r="Q1282" s="18" t="s">
        <v>42</v>
      </c>
      <c r="R1282" s="19" t="s">
        <v>5681</v>
      </c>
      <c r="S1282" s="11"/>
      <c r="T1282" s="11"/>
      <c r="U1282" s="10" t="str">
        <f>HYPERLINK("https://pbs.twimg.com/profile_images/520212741517504513/GMmrtOfO.jpeg","View")</f>
        <v>View</v>
      </c>
    </row>
    <row r="1283" spans="1:21" ht="40.799999999999997">
      <c r="A1283" s="6">
        <v>43441.597812499997</v>
      </c>
      <c r="B1283" s="7" t="str">
        <f>HYPERLINK("https://twitter.com/Diegofsanmateo","@Diegofsanmateo")</f>
        <v>@Diegofsanmateo</v>
      </c>
      <c r="C1283" s="8" t="s">
        <v>5682</v>
      </c>
      <c r="D1283" s="9" t="s">
        <v>5683</v>
      </c>
      <c r="E1283" s="10" t="str">
        <f>HYPERLINK("https://twitter.com/Diegofsanmateo/status/1071031786493353987","1071031786493353987")</f>
        <v>1071031786493353987</v>
      </c>
      <c r="F1283" s="11"/>
      <c r="G1283" s="11"/>
      <c r="H1283" s="11"/>
      <c r="I1283" s="13">
        <v>0</v>
      </c>
      <c r="J1283" s="13">
        <v>0</v>
      </c>
      <c r="K1283" s="14" t="str">
        <f t="shared" si="226"/>
        <v>Twitter for Android</v>
      </c>
      <c r="L1283" s="13">
        <v>81</v>
      </c>
      <c r="M1283" s="13">
        <v>474</v>
      </c>
      <c r="N1283" s="13">
        <v>1</v>
      </c>
      <c r="O1283" s="15"/>
      <c r="P1283" s="6">
        <v>43230.001261574071</v>
      </c>
      <c r="Q1283" s="18" t="s">
        <v>42</v>
      </c>
      <c r="R1283" s="19" t="s">
        <v>5684</v>
      </c>
      <c r="S1283" s="11"/>
      <c r="T1283" s="11"/>
      <c r="U1283" s="10" t="str">
        <f>HYPERLINK("https://pbs.twimg.com/profile_images/994340575817158662/z-JTXPwc.jpg","View")</f>
        <v>View</v>
      </c>
    </row>
    <row r="1284" spans="1:21" ht="30.6">
      <c r="A1284" s="6">
        <v>43441.597673611112</v>
      </c>
      <c r="B1284" s="7" t="str">
        <f>HYPERLINK("https://twitter.com/omniaveritas_","@omniaveritas_")</f>
        <v>@omniaveritas_</v>
      </c>
      <c r="C1284" s="8" t="s">
        <v>5685</v>
      </c>
      <c r="D1284" s="9" t="s">
        <v>5686</v>
      </c>
      <c r="E1284" s="10" t="str">
        <f>HYPERLINK("https://twitter.com/omniaveritas_/status/1071031738397327361","1071031738397327361")</f>
        <v>1071031738397327361</v>
      </c>
      <c r="F1284" s="11"/>
      <c r="G1284" s="11"/>
      <c r="H1284" s="11"/>
      <c r="I1284" s="13">
        <v>1</v>
      </c>
      <c r="J1284" s="13">
        <v>1</v>
      </c>
      <c r="K1284" s="14" t="str">
        <f t="shared" ref="K1284:K1286" si="227">HYPERLINK("http://twitter.com/download/iphone","Twitter for iPhone")</f>
        <v>Twitter for iPhone</v>
      </c>
      <c r="L1284" s="13">
        <v>1694</v>
      </c>
      <c r="M1284" s="13">
        <v>1590</v>
      </c>
      <c r="N1284" s="13">
        <v>15</v>
      </c>
      <c r="O1284" s="15"/>
      <c r="P1284" s="6">
        <v>42289.668807870374</v>
      </c>
      <c r="Q1284" s="18" t="s">
        <v>5687</v>
      </c>
      <c r="R1284" s="19" t="s">
        <v>5688</v>
      </c>
      <c r="S1284" s="11"/>
      <c r="T1284" s="11"/>
      <c r="U1284" s="10" t="str">
        <f>HYPERLINK("https://pbs.twimg.com/profile_images/1068289529377972224/l5Gy3_Yj.jpg","View")</f>
        <v>View</v>
      </c>
    </row>
    <row r="1285" spans="1:21" ht="30.6">
      <c r="A1285" s="6">
        <v>43441.59574074074</v>
      </c>
      <c r="B1285" s="7" t="str">
        <f>HYPERLINK("https://twitter.com/vasco_un","@vasco_un")</f>
        <v>@vasco_un</v>
      </c>
      <c r="C1285" s="8" t="s">
        <v>5689</v>
      </c>
      <c r="D1285" s="9" t="s">
        <v>5690</v>
      </c>
      <c r="E1285" s="10" t="str">
        <f>HYPERLINK("https://twitter.com/vasco_un/status/1071031036518129664","1071031036518129664")</f>
        <v>1071031036518129664</v>
      </c>
      <c r="F1285" s="12" t="s">
        <v>5691</v>
      </c>
      <c r="G1285" s="11"/>
      <c r="H1285" s="11"/>
      <c r="I1285" s="13">
        <v>0</v>
      </c>
      <c r="J1285" s="13">
        <v>1</v>
      </c>
      <c r="K1285" s="14" t="str">
        <f t="shared" si="227"/>
        <v>Twitter for iPhone</v>
      </c>
      <c r="L1285" s="13">
        <v>9</v>
      </c>
      <c r="M1285" s="13">
        <v>11</v>
      </c>
      <c r="N1285" s="13">
        <v>0</v>
      </c>
      <c r="O1285" s="15"/>
      <c r="P1285" s="6">
        <v>43431.808981481481</v>
      </c>
      <c r="Q1285" s="18" t="s">
        <v>5692</v>
      </c>
      <c r="R1285" s="19" t="s">
        <v>5693</v>
      </c>
      <c r="S1285" s="11"/>
      <c r="T1285" s="11"/>
      <c r="U1285" s="10" t="str">
        <f>HYPERLINK("https://pbs.twimg.com/profile_images/1067893525273026560/E3YqbiYw.jpg","View")</f>
        <v>View</v>
      </c>
    </row>
    <row r="1286" spans="1:21" ht="40.799999999999997">
      <c r="A1286" s="6">
        <v>43441.594907407409</v>
      </c>
      <c r="B1286" s="7" t="str">
        <f>HYPERLINK("https://twitter.com/Dr_Hackenbush","@Dr_Hackenbush")</f>
        <v>@Dr_Hackenbush</v>
      </c>
      <c r="C1286" s="8" t="s">
        <v>2651</v>
      </c>
      <c r="D1286" s="9" t="s">
        <v>2652</v>
      </c>
      <c r="E1286" s="10" t="str">
        <f>HYPERLINK("https://twitter.com/Dr_Hackenbush/status/1071030735966998529","1071030735966998529")</f>
        <v>1071030735966998529</v>
      </c>
      <c r="F1286" s="11"/>
      <c r="G1286" s="12" t="s">
        <v>2653</v>
      </c>
      <c r="H1286" s="11"/>
      <c r="I1286" s="13">
        <v>3</v>
      </c>
      <c r="J1286" s="13">
        <v>7</v>
      </c>
      <c r="K1286" s="14" t="str">
        <f t="shared" si="227"/>
        <v>Twitter for iPhone</v>
      </c>
      <c r="L1286" s="13">
        <v>3661</v>
      </c>
      <c r="M1286" s="13">
        <v>3584</v>
      </c>
      <c r="N1286" s="13">
        <v>8</v>
      </c>
      <c r="O1286" s="15"/>
      <c r="P1286" s="6">
        <v>41072.94699074074</v>
      </c>
      <c r="Q1286" s="18" t="s">
        <v>973</v>
      </c>
      <c r="R1286" s="19" t="s">
        <v>2654</v>
      </c>
      <c r="S1286" s="11"/>
      <c r="T1286" s="11"/>
      <c r="U1286" s="10" t="str">
        <f>HYPERLINK("https://pbs.twimg.com/profile_images/719997032224698369/YQ8RoWnh.jpg","View")</f>
        <v>View</v>
      </c>
    </row>
    <row r="1287" spans="1:21" ht="40.799999999999997">
      <c r="A1287" s="6">
        <v>43441.594826388886</v>
      </c>
      <c r="B1287" s="7" t="str">
        <f>HYPERLINK("https://twitter.com/DemoniumSama","@DemoniumSama")</f>
        <v>@DemoniumSama</v>
      </c>
      <c r="C1287" s="8" t="s">
        <v>5694</v>
      </c>
      <c r="D1287" s="9" t="s">
        <v>5695</v>
      </c>
      <c r="E1287" s="10" t="str">
        <f>HYPERLINK("https://twitter.com/DemoniumSama/status/1071030704669159425","1071030704669159425")</f>
        <v>1071030704669159425</v>
      </c>
      <c r="F1287" s="11"/>
      <c r="G1287" s="11"/>
      <c r="H1287" s="11"/>
      <c r="I1287" s="13">
        <v>0</v>
      </c>
      <c r="J1287" s="13">
        <v>0</v>
      </c>
      <c r="K1287" s="14" t="str">
        <f>HYPERLINK("http://twitter.com","Twitter Web Client")</f>
        <v>Twitter Web Client</v>
      </c>
      <c r="L1287" s="13">
        <v>87</v>
      </c>
      <c r="M1287" s="13">
        <v>751</v>
      </c>
      <c r="N1287" s="13">
        <v>1</v>
      </c>
      <c r="O1287" s="15"/>
      <c r="P1287" s="6">
        <v>41545.625474537039</v>
      </c>
      <c r="Q1287" s="18" t="s">
        <v>5696</v>
      </c>
      <c r="R1287" s="19" t="s">
        <v>5697</v>
      </c>
      <c r="S1287" s="12" t="s">
        <v>5698</v>
      </c>
      <c r="T1287" s="11"/>
      <c r="U1287" s="10" t="str">
        <f>HYPERLINK("https://pbs.twimg.com/profile_images/1024419596978331649/3QuXVta4.jpg","View")</f>
        <v>View</v>
      </c>
    </row>
    <row r="1288" spans="1:21" ht="40.799999999999997">
      <c r="A1288" s="6">
        <v>43441.594537037032</v>
      </c>
      <c r="B1288" s="7" t="str">
        <f>HYPERLINK("https://twitter.com/trancan92486565","@trancan92486565")</f>
        <v>@trancan92486565</v>
      </c>
      <c r="C1288" s="8" t="s">
        <v>265</v>
      </c>
      <c r="D1288" s="9" t="s">
        <v>5589</v>
      </c>
      <c r="E1288" s="10" t="str">
        <f>HYPERLINK("https://twitter.com/trancan92486565/status/1071030599031422976","1071030599031422976")</f>
        <v>1071030599031422976</v>
      </c>
      <c r="F1288" s="12" t="s">
        <v>5601</v>
      </c>
      <c r="G1288" s="11"/>
      <c r="H1288" s="11"/>
      <c r="I1288" s="13">
        <v>0</v>
      </c>
      <c r="J1288" s="13">
        <v>0</v>
      </c>
      <c r="K1288" s="14" t="str">
        <f>HYPERLINK("https://www.google.com/","Google")</f>
        <v>Google</v>
      </c>
      <c r="L1288" s="13">
        <v>4</v>
      </c>
      <c r="M1288" s="13">
        <v>11</v>
      </c>
      <c r="N1288" s="13">
        <v>0</v>
      </c>
      <c r="O1288" s="15"/>
      <c r="P1288" s="6">
        <v>43017.648888888885</v>
      </c>
      <c r="Q1288" s="18" t="s">
        <v>271</v>
      </c>
      <c r="R1288" s="19" t="s">
        <v>272</v>
      </c>
      <c r="S1288" s="12" t="s">
        <v>273</v>
      </c>
      <c r="T1288" s="11"/>
      <c r="U1288" s="10" t="str">
        <f>HYPERLINK("https://pbs.twimg.com/profile_images/917383125419704331/5l2pJCL9.jpg","View")</f>
        <v>View</v>
      </c>
    </row>
    <row r="1289" spans="1:21" ht="40.799999999999997">
      <c r="A1289" s="6">
        <v>43441.594537037032</v>
      </c>
      <c r="B1289" s="7" t="str">
        <f>HYPERLINK("https://twitter.com/juan_luisgarcia","@juan_luisgarcia")</f>
        <v>@juan_luisgarcia</v>
      </c>
      <c r="C1289" s="8" t="s">
        <v>2655</v>
      </c>
      <c r="D1289" s="9" t="s">
        <v>2656</v>
      </c>
      <c r="E1289" s="10" t="str">
        <f>HYPERLINK("https://twitter.com/juan_luisgarcia/status/1071030598247112706","1071030598247112706")</f>
        <v>1071030598247112706</v>
      </c>
      <c r="F1289" s="11"/>
      <c r="G1289" s="12" t="s">
        <v>2657</v>
      </c>
      <c r="H1289" s="11"/>
      <c r="I1289" s="13">
        <v>0</v>
      </c>
      <c r="J1289" s="13">
        <v>0</v>
      </c>
      <c r="K1289" s="14" t="str">
        <f>HYPERLINK("http://twitter.com/download/android","Twitter for Android")</f>
        <v>Twitter for Android</v>
      </c>
      <c r="L1289" s="13">
        <v>1075</v>
      </c>
      <c r="M1289" s="13">
        <v>1509</v>
      </c>
      <c r="N1289" s="13">
        <v>15</v>
      </c>
      <c r="O1289" s="15"/>
      <c r="P1289" s="6">
        <v>40797.948888888888</v>
      </c>
      <c r="Q1289" s="18" t="s">
        <v>2658</v>
      </c>
      <c r="R1289" s="19" t="s">
        <v>2659</v>
      </c>
      <c r="S1289" s="11"/>
      <c r="T1289" s="11"/>
      <c r="U1289" s="10" t="str">
        <f>HYPERLINK("https://pbs.twimg.com/profile_images/1066814736891826177/qr3-CuD5.jpg","View")</f>
        <v>View</v>
      </c>
    </row>
    <row r="1290" spans="1:21" ht="30.6">
      <c r="A1290" s="6">
        <v>43441.59438657407</v>
      </c>
      <c r="B1290" s="7" t="str">
        <f>HYPERLINK("https://twitter.com/CORMULON3","@CORMULON3")</f>
        <v>@CORMULON3</v>
      </c>
      <c r="C1290" s="8" t="s">
        <v>5699</v>
      </c>
      <c r="D1290" s="9" t="s">
        <v>5700</v>
      </c>
      <c r="E1290" s="10" t="str">
        <f>HYPERLINK("https://twitter.com/CORMULON3/status/1071030543997960192","1071030543997960192")</f>
        <v>1071030543997960192</v>
      </c>
      <c r="F1290" s="12" t="s">
        <v>5701</v>
      </c>
      <c r="G1290" s="11"/>
      <c r="H1290" s="11"/>
      <c r="I1290" s="13">
        <v>0</v>
      </c>
      <c r="J1290" s="13">
        <v>0</v>
      </c>
      <c r="K1290" s="14" t="str">
        <f t="shared" ref="K1290:K1292" si="228">HYPERLINK("http://twitter.com","Twitter Web Client")</f>
        <v>Twitter Web Client</v>
      </c>
      <c r="L1290" s="13">
        <v>49</v>
      </c>
      <c r="M1290" s="13">
        <v>197</v>
      </c>
      <c r="N1290" s="13">
        <v>0</v>
      </c>
      <c r="O1290" s="15"/>
      <c r="P1290" s="6">
        <v>42553.447164351848</v>
      </c>
      <c r="Q1290" s="11"/>
      <c r="R1290" s="19" t="s">
        <v>5702</v>
      </c>
      <c r="S1290" s="11"/>
      <c r="T1290" s="11"/>
      <c r="U1290" s="10" t="str">
        <f>HYPERLINK("https://pbs.twimg.com/profile_images/749168739728429056/PmnWcoDO.jpg","View")</f>
        <v>View</v>
      </c>
    </row>
    <row r="1291" spans="1:21" ht="40.799999999999997">
      <c r="A1291" s="6">
        <v>43441.594259259262</v>
      </c>
      <c r="B1291" s="7" t="str">
        <f>HYPERLINK("https://twitter.com/sumiciu_jke","@sumiciu_jke")</f>
        <v>@sumiciu_jke</v>
      </c>
      <c r="C1291" s="8" t="s">
        <v>5703</v>
      </c>
      <c r="D1291" s="9" t="s">
        <v>5704</v>
      </c>
      <c r="E1291" s="10" t="str">
        <f>HYPERLINK("https://twitter.com/sumiciu_jke/status/1071030498141630464","1071030498141630464")</f>
        <v>1071030498141630464</v>
      </c>
      <c r="F1291" s="12" t="s">
        <v>5705</v>
      </c>
      <c r="G1291" s="11"/>
      <c r="H1291" s="11"/>
      <c r="I1291" s="13">
        <v>0</v>
      </c>
      <c r="J1291" s="13">
        <v>4</v>
      </c>
      <c r="K1291" s="14" t="str">
        <f t="shared" si="228"/>
        <v>Twitter Web Client</v>
      </c>
      <c r="L1291" s="13">
        <v>1635</v>
      </c>
      <c r="M1291" s="13">
        <v>1325</v>
      </c>
      <c r="N1291" s="13">
        <v>46</v>
      </c>
      <c r="O1291" s="15"/>
      <c r="P1291" s="6">
        <v>39998.727581018517</v>
      </c>
      <c r="Q1291" s="18" t="s">
        <v>5706</v>
      </c>
      <c r="R1291" s="19" t="s">
        <v>5707</v>
      </c>
      <c r="S1291" s="11"/>
      <c r="T1291" s="11"/>
      <c r="U1291" s="10" t="str">
        <f>HYPERLINK("https://pbs.twimg.com/profile_images/743129527988195329/o_HPF-0_.jpg","View")</f>
        <v>View</v>
      </c>
    </row>
    <row r="1292" spans="1:21" ht="40.799999999999997">
      <c r="A1292" s="6">
        <v>43441.594247685185</v>
      </c>
      <c r="B1292" s="7" t="str">
        <f>HYPERLINK("https://twitter.com/CsarMedina12","@CsarMedina12")</f>
        <v>@CsarMedina12</v>
      </c>
      <c r="C1292" s="8" t="s">
        <v>5708</v>
      </c>
      <c r="D1292" s="9" t="s">
        <v>5709</v>
      </c>
      <c r="E1292" s="10" t="str">
        <f>HYPERLINK("https://twitter.com/CsarMedina12/status/1071030494161199105","1071030494161199105")</f>
        <v>1071030494161199105</v>
      </c>
      <c r="F1292" s="11"/>
      <c r="G1292" s="11"/>
      <c r="H1292" s="11"/>
      <c r="I1292" s="13">
        <v>0</v>
      </c>
      <c r="J1292" s="13">
        <v>0</v>
      </c>
      <c r="K1292" s="14" t="str">
        <f t="shared" si="228"/>
        <v>Twitter Web Client</v>
      </c>
      <c r="L1292" s="13">
        <v>477</v>
      </c>
      <c r="M1292" s="13">
        <v>3508</v>
      </c>
      <c r="N1292" s="13">
        <v>2</v>
      </c>
      <c r="O1292" s="15"/>
      <c r="P1292" s="6">
        <v>41938.879849537036</v>
      </c>
      <c r="Q1292" s="11"/>
      <c r="R1292" s="19" t="s">
        <v>5710</v>
      </c>
      <c r="S1292" s="11"/>
      <c r="T1292" s="11"/>
      <c r="U1292" s="10" t="str">
        <f>HYPERLINK("https://pbs.twimg.com/profile_images/928943653468409858/ql9wfj_h.jpg","View")</f>
        <v>View</v>
      </c>
    </row>
    <row r="1293" spans="1:21" ht="51">
      <c r="A1293" s="6">
        <v>43441.594189814816</v>
      </c>
      <c r="B1293" s="7" t="str">
        <f>HYPERLINK("https://twitter.com/ZapaterGil","@ZapaterGil")</f>
        <v>@ZapaterGil</v>
      </c>
      <c r="C1293" s="8" t="s">
        <v>5711</v>
      </c>
      <c r="D1293" s="9" t="s">
        <v>5712</v>
      </c>
      <c r="E1293" s="10" t="str">
        <f>HYPERLINK("https://twitter.com/ZapaterGil/status/1071030476134146049","1071030476134146049")</f>
        <v>1071030476134146049</v>
      </c>
      <c r="F1293" s="11"/>
      <c r="G1293" s="11"/>
      <c r="H1293" s="11"/>
      <c r="I1293" s="13">
        <v>0</v>
      </c>
      <c r="J1293" s="13">
        <v>0</v>
      </c>
      <c r="K1293" s="14" t="str">
        <f>HYPERLINK("http://twitter.com/download/android","Twitter for Android")</f>
        <v>Twitter for Android</v>
      </c>
      <c r="L1293" s="13">
        <v>136</v>
      </c>
      <c r="M1293" s="13">
        <v>109</v>
      </c>
      <c r="N1293" s="13">
        <v>10</v>
      </c>
      <c r="O1293" s="15"/>
      <c r="P1293" s="6">
        <v>41461.501759259263</v>
      </c>
      <c r="Q1293" s="11"/>
      <c r="R1293" s="19" t="s">
        <v>5713</v>
      </c>
      <c r="S1293" s="11"/>
      <c r="T1293" s="11"/>
      <c r="U1293" s="10" t="str">
        <f>HYPERLINK("https://pbs.twimg.com/profile_images/913134619427573760/AIwbRg7G.jpg","View")</f>
        <v>View</v>
      </c>
    </row>
    <row r="1294" spans="1:21" ht="51">
      <c r="A1294" s="6">
        <v>43441.592546296291</v>
      </c>
      <c r="B1294" s="7" t="str">
        <f>HYPERLINK("https://twitter.com/Migymar1","@Migymar1")</f>
        <v>@Migymar1</v>
      </c>
      <c r="C1294" s="8" t="s">
        <v>5714</v>
      </c>
      <c r="D1294" s="9" t="s">
        <v>5715</v>
      </c>
      <c r="E1294" s="10" t="str">
        <f>HYPERLINK("https://twitter.com/Migymar1/status/1071029878470909953","1071029878470909953")</f>
        <v>1071029878470909953</v>
      </c>
      <c r="F1294" s="11"/>
      <c r="G1294" s="11"/>
      <c r="H1294" s="11"/>
      <c r="I1294" s="13">
        <v>1</v>
      </c>
      <c r="J1294" s="13">
        <v>0</v>
      </c>
      <c r="K1294" s="14" t="str">
        <f>HYPERLINK("http://twitter.com/download/iphone","Twitter for iPhone")</f>
        <v>Twitter for iPhone</v>
      </c>
      <c r="L1294" s="13">
        <v>943</v>
      </c>
      <c r="M1294" s="13">
        <v>458</v>
      </c>
      <c r="N1294" s="13">
        <v>25</v>
      </c>
      <c r="O1294" s="15"/>
      <c r="P1294" s="6">
        <v>41344.095856481479</v>
      </c>
      <c r="Q1294" s="18" t="s">
        <v>454</v>
      </c>
      <c r="R1294" s="19" t="s">
        <v>5716</v>
      </c>
      <c r="S1294" s="11"/>
      <c r="T1294" s="11"/>
      <c r="U1294" s="10" t="str">
        <f>HYPERLINK("https://pbs.twimg.com/profile_images/447784173399719936/-d-Abde2.jpeg","View")</f>
        <v>View</v>
      </c>
    </row>
    <row r="1295" spans="1:21" ht="40.799999999999997">
      <c r="A1295" s="6">
        <v>43441.591585648144</v>
      </c>
      <c r="B1295" s="7" t="str">
        <f>HYPERLINK("https://twitter.com/JoselWTF","@JoselWTF")</f>
        <v>@JoselWTF</v>
      </c>
      <c r="C1295" s="8" t="s">
        <v>5717</v>
      </c>
      <c r="D1295" s="9" t="s">
        <v>5718</v>
      </c>
      <c r="E1295" s="10" t="str">
        <f>HYPERLINK("https://twitter.com/JoselWTF/status/1071029530599546881","1071029530599546881")</f>
        <v>1071029530599546881</v>
      </c>
      <c r="F1295" s="12" t="s">
        <v>5719</v>
      </c>
      <c r="G1295" s="11"/>
      <c r="H1295" s="11"/>
      <c r="I1295" s="13">
        <v>0</v>
      </c>
      <c r="J1295" s="13">
        <v>1</v>
      </c>
      <c r="K1295" s="14" t="str">
        <f>HYPERLINK("http://twitter.com/download/android","Twitter for Android")</f>
        <v>Twitter for Android</v>
      </c>
      <c r="L1295" s="13">
        <v>774</v>
      </c>
      <c r="M1295" s="13">
        <v>830</v>
      </c>
      <c r="N1295" s="13">
        <v>13</v>
      </c>
      <c r="O1295" s="15"/>
      <c r="P1295" s="6">
        <v>41456.743854166663</v>
      </c>
      <c r="Q1295" s="18" t="s">
        <v>5720</v>
      </c>
      <c r="R1295" s="19" t="s">
        <v>5721</v>
      </c>
      <c r="S1295" s="11"/>
      <c r="T1295" s="11"/>
      <c r="U1295" s="10" t="str">
        <f>HYPERLINK("https://pbs.twimg.com/profile_images/994602521741156352/BoWupCcF.jpg","View")</f>
        <v>View</v>
      </c>
    </row>
    <row r="1296" spans="1:21" ht="20.399999999999999">
      <c r="A1296" s="6">
        <v>43441.591122685189</v>
      </c>
      <c r="B1296" s="7" t="str">
        <f>HYPERLINK("https://twitter.com/sepaesbi","@sepaesbi")</f>
        <v>@sepaesbi</v>
      </c>
      <c r="C1296" s="8" t="s">
        <v>284</v>
      </c>
      <c r="D1296" s="9" t="s">
        <v>39</v>
      </c>
      <c r="E1296" s="10" t="str">
        <f>HYPERLINK("https://twitter.com/sepaesbi/status/1071029362814783489","1071029362814783489")</f>
        <v>1071029362814783489</v>
      </c>
      <c r="F1296" s="12" t="s">
        <v>40</v>
      </c>
      <c r="G1296" s="11"/>
      <c r="H1296" s="11"/>
      <c r="I1296" s="13">
        <v>0</v>
      </c>
      <c r="J1296" s="13">
        <v>0</v>
      </c>
      <c r="K1296" s="14" t="str">
        <f>HYPERLINK("http://twitter.com","Twitter Web Client")</f>
        <v>Twitter Web Client</v>
      </c>
      <c r="L1296" s="13">
        <v>69</v>
      </c>
      <c r="M1296" s="13">
        <v>278</v>
      </c>
      <c r="N1296" s="13">
        <v>1</v>
      </c>
      <c r="O1296" s="15"/>
      <c r="P1296" s="6">
        <v>41724.721539351856</v>
      </c>
      <c r="Q1296" s="11"/>
      <c r="R1296" s="17"/>
      <c r="S1296" s="11"/>
      <c r="T1296" s="11"/>
      <c r="U1296" s="16" t="s">
        <v>191</v>
      </c>
    </row>
    <row r="1297" spans="1:21" ht="30.6">
      <c r="A1297" s="6">
        <v>43441.59002314815</v>
      </c>
      <c r="B1297" s="7" t="str">
        <f>HYPERLINK("https://twitter.com/okdiario","@okdiario")</f>
        <v>@okdiario</v>
      </c>
      <c r="C1297" s="8" t="s">
        <v>1716</v>
      </c>
      <c r="D1297" s="9" t="s">
        <v>1718</v>
      </c>
      <c r="E1297" s="10" t="str">
        <f>HYPERLINK("https://twitter.com/okdiario/status/1071028962330058754","1071028962330058754")</f>
        <v>1071028962330058754</v>
      </c>
      <c r="F1297" s="12" t="s">
        <v>2328</v>
      </c>
      <c r="G1297" s="11"/>
      <c r="H1297" s="11"/>
      <c r="I1297" s="13">
        <v>488</v>
      </c>
      <c r="J1297" s="13">
        <v>425</v>
      </c>
      <c r="K1297" s="14" t="str">
        <f>HYPERLINK("https://www.echobox.com","Echobox Social")</f>
        <v>Echobox Social</v>
      </c>
      <c r="L1297" s="13">
        <v>112408</v>
      </c>
      <c r="M1297" s="13">
        <v>343</v>
      </c>
      <c r="N1297" s="13">
        <v>1440</v>
      </c>
      <c r="O1297" s="16" t="s">
        <v>25</v>
      </c>
      <c r="P1297" s="6">
        <v>42241.708229166667</v>
      </c>
      <c r="Q1297" s="11"/>
      <c r="R1297" s="19" t="s">
        <v>1722</v>
      </c>
      <c r="S1297" s="12" t="s">
        <v>1723</v>
      </c>
      <c r="T1297" s="11"/>
      <c r="U1297" s="10" t="str">
        <f>HYPERLINK("https://pbs.twimg.com/profile_images/789113773697208320/3LvFvi8Q.jpg","View")</f>
        <v>View</v>
      </c>
    </row>
    <row r="1298" spans="1:21" ht="30.6">
      <c r="A1298" s="6">
        <v>43441.588576388887</v>
      </c>
      <c r="B1298" s="7" t="str">
        <f>HYPERLINK("https://twitter.com/ldpsincomplejos","@ldpsincomplejos")</f>
        <v>@ldpsincomplejos</v>
      </c>
      <c r="C1298" s="8" t="s">
        <v>5722</v>
      </c>
      <c r="D1298" s="9" t="s">
        <v>5723</v>
      </c>
      <c r="E1298" s="10" t="str">
        <f>HYPERLINK("https://twitter.com/ldpsincomplejos/status/1071028439472357376","1071028439472357376")</f>
        <v>1071028439472357376</v>
      </c>
      <c r="F1298" s="12" t="s">
        <v>5724</v>
      </c>
      <c r="G1298" s="11"/>
      <c r="H1298" s="11"/>
      <c r="I1298" s="13">
        <v>219</v>
      </c>
      <c r="J1298" s="13">
        <v>273</v>
      </c>
      <c r="K1298" s="14" t="str">
        <f>HYPERLINK("http://twitter.com","Twitter Web Client")</f>
        <v>Twitter Web Client</v>
      </c>
      <c r="L1298" s="13">
        <v>110880</v>
      </c>
      <c r="M1298" s="13">
        <v>2642</v>
      </c>
      <c r="N1298" s="13">
        <v>1069</v>
      </c>
      <c r="O1298" s="16" t="s">
        <v>25</v>
      </c>
      <c r="P1298" s="6">
        <v>40566.777245370373</v>
      </c>
      <c r="Q1298" s="18" t="s">
        <v>307</v>
      </c>
      <c r="R1298" s="19" t="s">
        <v>5725</v>
      </c>
      <c r="S1298" s="12" t="s">
        <v>5726</v>
      </c>
      <c r="T1298" s="11"/>
      <c r="U1298" s="10" t="str">
        <f>HYPERLINK("https://pbs.twimg.com/profile_images/1007677959245828097/i-2yAFvg.jpg","View")</f>
        <v>View</v>
      </c>
    </row>
    <row r="1299" spans="1:21" ht="51">
      <c r="A1299" s="6">
        <v>43441.588194444441</v>
      </c>
      <c r="B1299" s="7" t="str">
        <f>HYPERLINK("https://twitter.com/pedroguillenico","@pedroguillenico")</f>
        <v>@pedroguillenico</v>
      </c>
      <c r="C1299" s="8" t="s">
        <v>3962</v>
      </c>
      <c r="D1299" s="9" t="s">
        <v>5727</v>
      </c>
      <c r="E1299" s="10" t="str">
        <f>HYPERLINK("https://twitter.com/pedroguillenico/status/1071028302733815808","1071028302733815808")</f>
        <v>1071028302733815808</v>
      </c>
      <c r="F1299" s="18" t="s">
        <v>5728</v>
      </c>
      <c r="G1299" s="12" t="s">
        <v>5729</v>
      </c>
      <c r="H1299" s="11"/>
      <c r="I1299" s="13">
        <v>0</v>
      </c>
      <c r="J1299" s="13">
        <v>0</v>
      </c>
      <c r="K1299" s="14" t="str">
        <f t="shared" ref="K1299:K1300" si="229">HYPERLINK("http://twitter.com/download/android","Twitter for Android")</f>
        <v>Twitter for Android</v>
      </c>
      <c r="L1299" s="13">
        <v>1003</v>
      </c>
      <c r="M1299" s="13">
        <v>979</v>
      </c>
      <c r="N1299" s="13">
        <v>20</v>
      </c>
      <c r="O1299" s="15"/>
      <c r="P1299" s="6">
        <v>42463.42832175926</v>
      </c>
      <c r="Q1299" s="18" t="s">
        <v>42</v>
      </c>
      <c r="R1299" s="19" t="s">
        <v>5730</v>
      </c>
      <c r="S1299" s="11"/>
      <c r="T1299" s="11"/>
      <c r="U1299" s="10" t="str">
        <f>HYPERLINK("https://pbs.twimg.com/profile_images/1069620642084020224/FJKtkmIH.jpg","View")</f>
        <v>View</v>
      </c>
    </row>
    <row r="1300" spans="1:21" ht="30.6">
      <c r="A1300" s="6">
        <v>43441.587627314817</v>
      </c>
      <c r="B1300" s="7" t="str">
        <f>HYPERLINK("https://twitter.com/SweetGiorgio","@SweetGiorgio")</f>
        <v>@SweetGiorgio</v>
      </c>
      <c r="C1300" s="8" t="s">
        <v>5731</v>
      </c>
      <c r="D1300" s="9" t="s">
        <v>5732</v>
      </c>
      <c r="E1300" s="10" t="str">
        <f>HYPERLINK("https://twitter.com/SweetGiorgio/status/1071028095837237251","1071028095837237251")</f>
        <v>1071028095837237251</v>
      </c>
      <c r="F1300" s="11"/>
      <c r="G1300" s="11"/>
      <c r="H1300" s="11"/>
      <c r="I1300" s="13">
        <v>0</v>
      </c>
      <c r="J1300" s="13">
        <v>1</v>
      </c>
      <c r="K1300" s="14" t="str">
        <f t="shared" si="229"/>
        <v>Twitter for Android</v>
      </c>
      <c r="L1300" s="13">
        <v>165</v>
      </c>
      <c r="M1300" s="13">
        <v>521</v>
      </c>
      <c r="N1300" s="13">
        <v>2</v>
      </c>
      <c r="O1300" s="15"/>
      <c r="P1300" s="6">
        <v>40457.528645833336</v>
      </c>
      <c r="Q1300" s="18" t="s">
        <v>307</v>
      </c>
      <c r="R1300" s="19" t="s">
        <v>5733</v>
      </c>
      <c r="S1300" s="11"/>
      <c r="T1300" s="11"/>
      <c r="U1300" s="10" t="str">
        <f>HYPERLINK("https://pbs.twimg.com/profile_images/775266831707869184/1mDC3uJ3.jpg","View")</f>
        <v>View</v>
      </c>
    </row>
    <row r="1301" spans="1:21" ht="30.6">
      <c r="A1301" s="6">
        <v>43441.587233796294</v>
      </c>
      <c r="B1301" s="7" t="str">
        <f>HYPERLINK("https://twitter.com/alfonsosiloniz","@alfonsosiloniz")</f>
        <v>@alfonsosiloniz</v>
      </c>
      <c r="C1301" s="8" t="s">
        <v>5734</v>
      </c>
      <c r="D1301" s="9" t="s">
        <v>5735</v>
      </c>
      <c r="E1301" s="10" t="str">
        <f>HYPERLINK("https://twitter.com/alfonsosiloniz/status/1071027952035479553","1071027952035479553")</f>
        <v>1071027952035479553</v>
      </c>
      <c r="F1301" s="11"/>
      <c r="G1301" s="11"/>
      <c r="H1301" s="11"/>
      <c r="I1301" s="13">
        <v>1</v>
      </c>
      <c r="J1301" s="13">
        <v>5</v>
      </c>
      <c r="K1301" s="14" t="str">
        <f>HYPERLINK("https://mobile.twitter.com","Twitter Lite")</f>
        <v>Twitter Lite</v>
      </c>
      <c r="L1301" s="13">
        <v>1762</v>
      </c>
      <c r="M1301" s="13">
        <v>29</v>
      </c>
      <c r="N1301" s="13">
        <v>199</v>
      </c>
      <c r="O1301" s="15"/>
      <c r="P1301" s="6">
        <v>39170.651979166665</v>
      </c>
      <c r="Q1301" s="18" t="s">
        <v>5736</v>
      </c>
      <c r="R1301" s="19" t="s">
        <v>5737</v>
      </c>
      <c r="S1301" s="12" t="s">
        <v>5738</v>
      </c>
      <c r="T1301" s="11"/>
      <c r="U1301" s="10" t="str">
        <f>HYPERLINK("https://pbs.twimg.com/profile_images/1045388574017826816/XEuTe50x.jpg","View")</f>
        <v>View</v>
      </c>
    </row>
    <row r="1302" spans="1:21" ht="40.799999999999997">
      <c r="A1302" s="6">
        <v>43441.58693287037</v>
      </c>
      <c r="B1302" s="7" t="str">
        <f>HYPERLINK("https://twitter.com/____Gipsy____","@____Gipsy____")</f>
        <v>@____Gipsy____</v>
      </c>
      <c r="C1302" s="8" t="s">
        <v>5739</v>
      </c>
      <c r="D1302" s="9" t="s">
        <v>879</v>
      </c>
      <c r="E1302" s="10" t="str">
        <f>HYPERLINK("https://twitter.com/____Gipsy____/status/1071027844179001344","1071027844179001344")</f>
        <v>1071027844179001344</v>
      </c>
      <c r="F1302" s="12" t="s">
        <v>881</v>
      </c>
      <c r="G1302" s="11"/>
      <c r="H1302" s="11"/>
      <c r="I1302" s="13">
        <v>0</v>
      </c>
      <c r="J1302" s="13">
        <v>0</v>
      </c>
      <c r="K1302" s="14" t="str">
        <f>HYPERLINK("https://buffer.com","Buffer")</f>
        <v>Buffer</v>
      </c>
      <c r="L1302" s="13">
        <v>149</v>
      </c>
      <c r="M1302" s="13">
        <v>971</v>
      </c>
      <c r="N1302" s="13">
        <v>0</v>
      </c>
      <c r="O1302" s="15"/>
      <c r="P1302" s="6">
        <v>43341.628252314811</v>
      </c>
      <c r="Q1302" s="11"/>
      <c r="R1302" s="19" t="s">
        <v>5740</v>
      </c>
      <c r="S1302" s="11"/>
      <c r="T1302" s="11"/>
      <c r="U1302" s="10" t="str">
        <f>HYPERLINK("https://pbs.twimg.com/profile_images/1034789754791976960/dNNStVf-.jpg","View")</f>
        <v>View</v>
      </c>
    </row>
    <row r="1303" spans="1:21" ht="20.399999999999999">
      <c r="A1303" s="6">
        <v>43441.585057870368</v>
      </c>
      <c r="B1303" s="7" t="str">
        <f>HYPERLINK("https://twitter.com/EMILIOCO98","@EMILIOCO98")</f>
        <v>@EMILIOCO98</v>
      </c>
      <c r="C1303" s="8" t="s">
        <v>5741</v>
      </c>
      <c r="D1303" s="9" t="s">
        <v>2453</v>
      </c>
      <c r="E1303" s="10" t="str">
        <f>HYPERLINK("https://twitter.com/EMILIOCO98/status/1071027163355320320","1071027163355320320")</f>
        <v>1071027163355320320</v>
      </c>
      <c r="F1303" s="12" t="s">
        <v>2454</v>
      </c>
      <c r="G1303" s="11"/>
      <c r="H1303" s="11"/>
      <c r="I1303" s="13">
        <v>0</v>
      </c>
      <c r="J1303" s="13">
        <v>0</v>
      </c>
      <c r="K1303" s="14" t="str">
        <f>HYPERLINK("https://www.google.com/","Google")</f>
        <v>Google</v>
      </c>
      <c r="L1303" s="13">
        <v>23</v>
      </c>
      <c r="M1303" s="13">
        <v>30</v>
      </c>
      <c r="N1303" s="13">
        <v>4</v>
      </c>
      <c r="O1303" s="15"/>
      <c r="P1303" s="6">
        <v>41892.769108796296</v>
      </c>
      <c r="Q1303" s="11"/>
      <c r="R1303" s="17"/>
      <c r="S1303" s="11"/>
      <c r="T1303" s="11"/>
      <c r="U1303" s="10" t="str">
        <f>HYPERLINK("https://pbs.twimg.com/profile_images/632954943981395968/atOxvZ85.jpg","View")</f>
        <v>View</v>
      </c>
    </row>
    <row r="1304" spans="1:21" ht="51">
      <c r="A1304" s="6">
        <v>43441.584791666668</v>
      </c>
      <c r="B1304" s="7" t="str">
        <f>HYPERLINK("https://twitter.com/gara_ice","@gara_ice")</f>
        <v>@gara_ice</v>
      </c>
      <c r="C1304" s="8" t="s">
        <v>1398</v>
      </c>
      <c r="D1304" s="9" t="s">
        <v>5742</v>
      </c>
      <c r="E1304" s="10" t="str">
        <f>HYPERLINK("https://twitter.com/gara_ice/status/1071027069071572993","1071027069071572993")</f>
        <v>1071027069071572993</v>
      </c>
      <c r="F1304" s="12" t="s">
        <v>5743</v>
      </c>
      <c r="G1304" s="11"/>
      <c r="H1304" s="11"/>
      <c r="I1304" s="13">
        <v>0</v>
      </c>
      <c r="J1304" s="13">
        <v>0</v>
      </c>
      <c r="K1304" s="14" t="str">
        <f>HYPERLINK("https://ifttt.com","IFTTT")</f>
        <v>IFTTT</v>
      </c>
      <c r="L1304" s="13">
        <v>450</v>
      </c>
      <c r="M1304" s="13">
        <v>434</v>
      </c>
      <c r="N1304" s="13">
        <v>10</v>
      </c>
      <c r="O1304" s="15"/>
      <c r="P1304" s="6">
        <v>39590.435324074075</v>
      </c>
      <c r="Q1304" s="11"/>
      <c r="R1304" s="17"/>
      <c r="S1304" s="11"/>
      <c r="T1304" s="11"/>
      <c r="U1304" s="10" t="str">
        <f>HYPERLINK("https://pbs.twimg.com/profile_images/561850533468971008/-4f3cnLr.jpeg","View")</f>
        <v>View</v>
      </c>
    </row>
    <row r="1305" spans="1:21" ht="51">
      <c r="A1305" s="6">
        <v>43441.583495370374</v>
      </c>
      <c r="B1305" s="7" t="str">
        <f>HYPERLINK("https://twitter.com/XaviBurgos1","@XaviBurgos1")</f>
        <v>@XaviBurgos1</v>
      </c>
      <c r="C1305" s="8" t="s">
        <v>2664</v>
      </c>
      <c r="D1305" s="9" t="s">
        <v>2665</v>
      </c>
      <c r="E1305" s="10" t="str">
        <f>HYPERLINK("https://twitter.com/XaviBurgos1/status/1071026598428717056","1071026598428717056")</f>
        <v>1071026598428717056</v>
      </c>
      <c r="F1305" s="12" t="s">
        <v>2668</v>
      </c>
      <c r="G1305" s="11"/>
      <c r="H1305" s="11"/>
      <c r="I1305" s="13">
        <v>1</v>
      </c>
      <c r="J1305" s="13">
        <v>0</v>
      </c>
      <c r="K1305" s="14" t="str">
        <f>HYPERLINK("http://twitter.com","Twitter Web Client")</f>
        <v>Twitter Web Client</v>
      </c>
      <c r="L1305" s="13">
        <v>1760</v>
      </c>
      <c r="M1305" s="13">
        <v>5000</v>
      </c>
      <c r="N1305" s="13">
        <v>91</v>
      </c>
      <c r="O1305" s="15"/>
      <c r="P1305" s="6">
        <v>42182.93167824074</v>
      </c>
      <c r="Q1305" s="18" t="s">
        <v>2669</v>
      </c>
      <c r="R1305" s="19" t="s">
        <v>2670</v>
      </c>
      <c r="S1305" s="11"/>
      <c r="T1305" s="11"/>
      <c r="U1305" s="10" t="str">
        <f>HYPERLINK("https://pbs.twimg.com/profile_images/1068435957991522304/2Mytzabn.jpg","View")</f>
        <v>View</v>
      </c>
    </row>
    <row r="1306" spans="1:21" ht="40.799999999999997">
      <c r="A1306" s="6">
        <v>43441.583333333328</v>
      </c>
      <c r="B1306" s="7" t="str">
        <f>HYPERLINK("https://twitter.com/podemosmad","@podemosmad")</f>
        <v>@podemosmad</v>
      </c>
      <c r="C1306" s="8" t="s">
        <v>2671</v>
      </c>
      <c r="D1306" s="9" t="s">
        <v>2672</v>
      </c>
      <c r="E1306" s="10" t="str">
        <f>HYPERLINK("https://twitter.com/podemosmad/status/1071026541650276352","1071026541650276352")</f>
        <v>1071026541650276352</v>
      </c>
      <c r="F1306" s="12" t="s">
        <v>2673</v>
      </c>
      <c r="G1306" s="11"/>
      <c r="H1306" s="11"/>
      <c r="I1306" s="13">
        <v>13</v>
      </c>
      <c r="J1306" s="13">
        <v>22</v>
      </c>
      <c r="K1306" s="14" t="str">
        <f>HYPERLINK("https://about.twitter.com/products/tweetdeck","TweetDeck")</f>
        <v>TweetDeck</v>
      </c>
      <c r="L1306" s="13">
        <v>33182</v>
      </c>
      <c r="M1306" s="13">
        <v>338</v>
      </c>
      <c r="N1306" s="13">
        <v>347</v>
      </c>
      <c r="O1306" s="16" t="s">
        <v>25</v>
      </c>
      <c r="P1306" s="6">
        <v>42012.489861111113</v>
      </c>
      <c r="Q1306" s="18" t="s">
        <v>307</v>
      </c>
      <c r="R1306" s="19" t="s">
        <v>2676</v>
      </c>
      <c r="S1306" s="12" t="s">
        <v>2677</v>
      </c>
      <c r="T1306" s="11"/>
      <c r="U1306" s="10" t="str">
        <f>HYPERLINK("https://pbs.twimg.com/profile_images/1067390509369430016/7oSALyG-.jpg","View")</f>
        <v>View</v>
      </c>
    </row>
    <row r="1307" spans="1:21" ht="40.799999999999997">
      <c r="A1307" s="6">
        <v>43441.582812499997</v>
      </c>
      <c r="B1307" s="7" t="str">
        <f>HYPERLINK("https://twitter.com/Jota_POV","@Jota_POV")</f>
        <v>@Jota_POV</v>
      </c>
      <c r="C1307" s="8" t="s">
        <v>5235</v>
      </c>
      <c r="D1307" s="9" t="s">
        <v>5744</v>
      </c>
      <c r="E1307" s="10" t="str">
        <f>HYPERLINK("https://twitter.com/Jota_POV/status/1071026350511833088","1071026350511833088")</f>
        <v>1071026350511833088</v>
      </c>
      <c r="F1307" s="12" t="s">
        <v>5745</v>
      </c>
      <c r="G1307" s="11"/>
      <c r="H1307" s="11"/>
      <c r="I1307" s="13">
        <v>1</v>
      </c>
      <c r="J1307" s="13">
        <v>2</v>
      </c>
      <c r="K1307" s="14" t="str">
        <f>HYPERLINK("https://www.google.com/","Google")</f>
        <v>Google</v>
      </c>
      <c r="L1307" s="13">
        <v>4537</v>
      </c>
      <c r="M1307" s="13">
        <v>3221</v>
      </c>
      <c r="N1307" s="13">
        <v>52</v>
      </c>
      <c r="O1307" s="15"/>
      <c r="P1307" s="6">
        <v>41980.881006944444</v>
      </c>
      <c r="Q1307" s="11"/>
      <c r="R1307" s="19" t="s">
        <v>5236</v>
      </c>
      <c r="S1307" s="12" t="s">
        <v>5237</v>
      </c>
      <c r="T1307" s="11"/>
      <c r="U1307" s="10" t="str">
        <f>HYPERLINK("https://pbs.twimg.com/profile_images/1069587937321459719/BqxF0hv9.jpg","View")</f>
        <v>View</v>
      </c>
    </row>
    <row r="1308" spans="1:21" ht="91.8">
      <c r="A1308" s="6">
        <v>43441.58258101852</v>
      </c>
      <c r="B1308" s="7" t="str">
        <f>HYPERLINK("https://twitter.com/elviejotaurino","@elviejotaurino")</f>
        <v>@elviejotaurino</v>
      </c>
      <c r="C1308" s="8" t="s">
        <v>2501</v>
      </c>
      <c r="D1308" s="9" t="s">
        <v>2679</v>
      </c>
      <c r="E1308" s="10" t="str">
        <f>HYPERLINK("https://twitter.com/elviejotaurino/status/1071026267280076800","1071026267280076800")</f>
        <v>1071026267280076800</v>
      </c>
      <c r="F1308" s="12" t="s">
        <v>2682</v>
      </c>
      <c r="G1308" s="12" t="s">
        <v>2683</v>
      </c>
      <c r="H1308" s="11"/>
      <c r="I1308" s="13">
        <v>1</v>
      </c>
      <c r="J1308" s="13">
        <v>0</v>
      </c>
      <c r="K1308" s="14" t="str">
        <f>HYPERLINK("http://twitter.com/download/iphone","Twitter for iPhone")</f>
        <v>Twitter for iPhone</v>
      </c>
      <c r="L1308" s="13">
        <v>1829</v>
      </c>
      <c r="M1308" s="13">
        <v>593</v>
      </c>
      <c r="N1308" s="13">
        <v>13</v>
      </c>
      <c r="O1308" s="15"/>
      <c r="P1308" s="6">
        <v>41295.778587962966</v>
      </c>
      <c r="Q1308" s="11"/>
      <c r="R1308" s="19" t="s">
        <v>2507</v>
      </c>
      <c r="S1308" s="11"/>
      <c r="T1308" s="11"/>
      <c r="U1308" s="10" t="str">
        <f>HYPERLINK("https://pbs.twimg.com/profile_images/3144357059/031cd3d49fcb2a84ee1695b8c5bf64e6.jpeg","View")</f>
        <v>View</v>
      </c>
    </row>
    <row r="1309" spans="1:21" ht="20.399999999999999">
      <c r="A1309" s="6">
        <v>43441.58221064815</v>
      </c>
      <c r="B1309" s="7" t="str">
        <f>HYPERLINK("https://twitter.com/JuanCar58243054","@JuanCar58243054")</f>
        <v>@JuanCar58243054</v>
      </c>
      <c r="C1309" s="8" t="s">
        <v>5746</v>
      </c>
      <c r="D1309" s="9" t="s">
        <v>3024</v>
      </c>
      <c r="E1309" s="10" t="str">
        <f>HYPERLINK("https://twitter.com/JuanCar58243054/status/1071026134006095872","1071026134006095872")</f>
        <v>1071026134006095872</v>
      </c>
      <c r="F1309" s="12" t="s">
        <v>5747</v>
      </c>
      <c r="G1309" s="11"/>
      <c r="H1309" s="11"/>
      <c r="I1309" s="13">
        <v>0</v>
      </c>
      <c r="J1309" s="13">
        <v>0</v>
      </c>
      <c r="K1309" s="14" t="str">
        <f t="shared" ref="K1309:K1311" si="230">HYPERLINK("http://twitter.com/download/android","Twitter for Android")</f>
        <v>Twitter for Android</v>
      </c>
      <c r="L1309" s="13">
        <v>478</v>
      </c>
      <c r="M1309" s="13">
        <v>637</v>
      </c>
      <c r="N1309" s="13">
        <v>0</v>
      </c>
      <c r="O1309" s="15"/>
      <c r="P1309" s="6">
        <v>43024.839861111112</v>
      </c>
      <c r="Q1309" s="11"/>
      <c r="R1309" s="17"/>
      <c r="S1309" s="11"/>
      <c r="T1309" s="11"/>
      <c r="U1309" s="10" t="str">
        <f>HYPERLINK("https://pbs.twimg.com/profile_images/920686794408103936/69JoZO2q.jpg","View")</f>
        <v>View</v>
      </c>
    </row>
    <row r="1310" spans="1:21" ht="51">
      <c r="A1310" s="6">
        <v>43441.581921296296</v>
      </c>
      <c r="B1310" s="7" t="str">
        <f>HYPERLINK("https://twitter.com/idpajares1974","@idpajares1974")</f>
        <v>@idpajares1974</v>
      </c>
      <c r="C1310" s="8" t="s">
        <v>5748</v>
      </c>
      <c r="D1310" s="9" t="s">
        <v>5749</v>
      </c>
      <c r="E1310" s="10" t="str">
        <f>HYPERLINK("https://twitter.com/idpajares1974/status/1071026028653527041","1071026028653527041")</f>
        <v>1071026028653527041</v>
      </c>
      <c r="F1310" s="12" t="s">
        <v>5750</v>
      </c>
      <c r="G1310" s="11"/>
      <c r="H1310" s="11"/>
      <c r="I1310" s="13">
        <v>2</v>
      </c>
      <c r="J1310" s="13">
        <v>1</v>
      </c>
      <c r="K1310" s="14" t="str">
        <f t="shared" si="230"/>
        <v>Twitter for Android</v>
      </c>
      <c r="L1310" s="13">
        <v>178</v>
      </c>
      <c r="M1310" s="13">
        <v>406</v>
      </c>
      <c r="N1310" s="13">
        <v>8</v>
      </c>
      <c r="O1310" s="15"/>
      <c r="P1310" s="6">
        <v>40623.486261574071</v>
      </c>
      <c r="Q1310" s="18" t="s">
        <v>42</v>
      </c>
      <c r="R1310" s="19" t="s">
        <v>5751</v>
      </c>
      <c r="S1310" s="11"/>
      <c r="T1310" s="11"/>
      <c r="U1310" s="10" t="str">
        <f>HYPERLINK("https://pbs.twimg.com/profile_images/1069169554788622336/2K2S2m-H.jpg","View")</f>
        <v>View</v>
      </c>
    </row>
    <row r="1311" spans="1:21" ht="30.6">
      <c r="A1311" s="6">
        <v>43441.581261574072</v>
      </c>
      <c r="B1311" s="7" t="str">
        <f>HYPERLINK("https://twitter.com/Jairo96099917","@Jairo96099917")</f>
        <v>@Jairo96099917</v>
      </c>
      <c r="C1311" s="8" t="s">
        <v>5752</v>
      </c>
      <c r="D1311" s="9" t="s">
        <v>5753</v>
      </c>
      <c r="E1311" s="10" t="str">
        <f>HYPERLINK("https://twitter.com/Jairo96099917/status/1071025790807146496","1071025790807146496")</f>
        <v>1071025790807146496</v>
      </c>
      <c r="F1311" s="12" t="s">
        <v>5754</v>
      </c>
      <c r="G1311" s="11"/>
      <c r="H1311" s="11"/>
      <c r="I1311" s="13">
        <v>0</v>
      </c>
      <c r="J1311" s="13">
        <v>0</v>
      </c>
      <c r="K1311" s="14" t="str">
        <f t="shared" si="230"/>
        <v>Twitter for Android</v>
      </c>
      <c r="L1311" s="13">
        <v>135</v>
      </c>
      <c r="M1311" s="13">
        <v>488</v>
      </c>
      <c r="N1311" s="13">
        <v>1</v>
      </c>
      <c r="O1311" s="15"/>
      <c r="P1311" s="6">
        <v>43340.001342592594</v>
      </c>
      <c r="Q1311" s="11"/>
      <c r="R1311" s="19" t="s">
        <v>5755</v>
      </c>
      <c r="S1311" s="11"/>
      <c r="T1311" s="11"/>
      <c r="U1311" s="10" t="str">
        <f>HYPERLINK("https://pbs.twimg.com/profile_images/1039131458806394881/YxEN6G3z.jpg","View")</f>
        <v>View</v>
      </c>
    </row>
    <row r="1312" spans="1:21" ht="51">
      <c r="A1312" s="6">
        <v>43441.580023148148</v>
      </c>
      <c r="B1312" s="7" t="str">
        <f>HYPERLINK("https://twitter.com/tetratraviesa","@tetratraviesa")</f>
        <v>@tetratraviesa</v>
      </c>
      <c r="C1312" s="8" t="s">
        <v>2399</v>
      </c>
      <c r="D1312" s="9" t="s">
        <v>2688</v>
      </c>
      <c r="E1312" s="10" t="str">
        <f>HYPERLINK("https://twitter.com/tetratraviesa/status/1071025342356381698","1071025342356381698")</f>
        <v>1071025342356381698</v>
      </c>
      <c r="F1312" s="12" t="s">
        <v>2187</v>
      </c>
      <c r="G1312" s="12" t="s">
        <v>2689</v>
      </c>
      <c r="H1312" s="11"/>
      <c r="I1312" s="13">
        <v>0</v>
      </c>
      <c r="J1312" s="13">
        <v>0</v>
      </c>
      <c r="K1312" s="14" t="str">
        <f>HYPERLINK("https://mobile.twitter.com","Twitter Lite")</f>
        <v>Twitter Lite</v>
      </c>
      <c r="L1312" s="13">
        <v>114</v>
      </c>
      <c r="M1312" s="13">
        <v>333</v>
      </c>
      <c r="N1312" s="13">
        <v>0</v>
      </c>
      <c r="O1312" s="15"/>
      <c r="P1312" s="6">
        <v>43186.731273148151</v>
      </c>
      <c r="Q1312" s="11"/>
      <c r="R1312" s="19" t="s">
        <v>2404</v>
      </c>
      <c r="S1312" s="11"/>
      <c r="T1312" s="11"/>
      <c r="U1312" s="10" t="str">
        <f>HYPERLINK("https://pbs.twimg.com/profile_images/1000959553247285248/Py4FSQoT.jpg","View")</f>
        <v>View</v>
      </c>
    </row>
    <row r="1313" spans="1:21" ht="30.6">
      <c r="A1313" s="6">
        <v>43441.578923611116</v>
      </c>
      <c r="B1313" s="7" t="str">
        <f>HYPERLINK("https://twitter.com/aalcant","@aalcant")</f>
        <v>@aalcant</v>
      </c>
      <c r="C1313" s="8" t="s">
        <v>4640</v>
      </c>
      <c r="D1313" s="9" t="s">
        <v>5756</v>
      </c>
      <c r="E1313" s="10" t="str">
        <f>HYPERLINK("https://twitter.com/aalcant/status/1071024942869856256","1071024942869856256")</f>
        <v>1071024942869856256</v>
      </c>
      <c r="F1313" s="11"/>
      <c r="G1313" s="11"/>
      <c r="H1313" s="11"/>
      <c r="I1313" s="13">
        <v>0</v>
      </c>
      <c r="J1313" s="13">
        <v>0</v>
      </c>
      <c r="K1313" s="14" t="str">
        <f>HYPERLINK("http://twitter.com/download/iphone","Twitter for iPhone")</f>
        <v>Twitter for iPhone</v>
      </c>
      <c r="L1313" s="13">
        <v>1216</v>
      </c>
      <c r="M1313" s="13">
        <v>1088</v>
      </c>
      <c r="N1313" s="13">
        <v>13</v>
      </c>
      <c r="O1313" s="15"/>
      <c r="P1313" s="6">
        <v>40628.742569444446</v>
      </c>
      <c r="Q1313" s="18" t="s">
        <v>307</v>
      </c>
      <c r="R1313" s="19" t="s">
        <v>4643</v>
      </c>
      <c r="S1313" s="11"/>
      <c r="T1313" s="11"/>
      <c r="U1313" s="10" t="str">
        <f>HYPERLINK("https://pbs.twimg.com/profile_images/1029091279429357570/sSk4T2Mx.jpg","View")</f>
        <v>View</v>
      </c>
    </row>
    <row r="1314" spans="1:21" ht="71.400000000000006">
      <c r="A1314" s="6">
        <v>43441.578784722224</v>
      </c>
      <c r="B1314" s="7" t="str">
        <f>HYPERLINK("https://twitter.com/pinguinorguez","@pinguinorguez")</f>
        <v>@pinguinorguez</v>
      </c>
      <c r="C1314" s="8" t="s">
        <v>5757</v>
      </c>
      <c r="D1314" s="9" t="s">
        <v>5758</v>
      </c>
      <c r="E1314" s="10" t="str">
        <f>HYPERLINK("https://twitter.com/pinguinorguez/status/1071024893452525568","1071024893452525568")</f>
        <v>1071024893452525568</v>
      </c>
      <c r="F1314" s="12" t="s">
        <v>3074</v>
      </c>
      <c r="G1314" s="12" t="s">
        <v>3075</v>
      </c>
      <c r="H1314" s="11"/>
      <c r="I1314" s="13">
        <v>1</v>
      </c>
      <c r="J1314" s="13">
        <v>2</v>
      </c>
      <c r="K1314" s="14" t="str">
        <f>HYPERLINK("http://twitter.com/download/android","Twitter for Android")</f>
        <v>Twitter for Android</v>
      </c>
      <c r="L1314" s="13">
        <v>2120</v>
      </c>
      <c r="M1314" s="13">
        <v>919</v>
      </c>
      <c r="N1314" s="13">
        <v>27</v>
      </c>
      <c r="O1314" s="15"/>
      <c r="P1314" s="6">
        <v>42036.467199074075</v>
      </c>
      <c r="Q1314" s="18" t="s">
        <v>5759</v>
      </c>
      <c r="R1314" s="19" t="s">
        <v>5760</v>
      </c>
      <c r="S1314" s="11"/>
      <c r="T1314" s="11"/>
      <c r="U1314" s="10" t="str">
        <f>HYPERLINK("https://pbs.twimg.com/profile_images/1030367133883084806/49K6bP2-.jpg","View")</f>
        <v>View</v>
      </c>
    </row>
    <row r="1315" spans="1:21" ht="30.6">
      <c r="A1315" s="6">
        <v>43441.578611111108</v>
      </c>
      <c r="B1315" s="7" t="str">
        <f>HYPERLINK("https://twitter.com/Antiintermedio","@Antiintermedio")</f>
        <v>@Antiintermedio</v>
      </c>
      <c r="C1315" s="8" t="s">
        <v>5761</v>
      </c>
      <c r="D1315" s="9" t="s">
        <v>5762</v>
      </c>
      <c r="E1315" s="10" t="str">
        <f>HYPERLINK("https://twitter.com/Antiintermedio/status/1071024828830896128","1071024828830896128")</f>
        <v>1071024828830896128</v>
      </c>
      <c r="F1315" s="11"/>
      <c r="G1315" s="11"/>
      <c r="H1315" s="11"/>
      <c r="I1315" s="13">
        <v>25</v>
      </c>
      <c r="J1315" s="13">
        <v>78</v>
      </c>
      <c r="K1315" s="14" t="str">
        <f>HYPERLINK("http://twitter.com/download/iphone","Twitter for iPhone")</f>
        <v>Twitter for iPhone</v>
      </c>
      <c r="L1315" s="13">
        <v>18585</v>
      </c>
      <c r="M1315" s="13">
        <v>453</v>
      </c>
      <c r="N1315" s="13">
        <v>196</v>
      </c>
      <c r="O1315" s="15"/>
      <c r="P1315" s="6">
        <v>41686.038981481484</v>
      </c>
      <c r="Q1315" s="11"/>
      <c r="R1315" s="19" t="s">
        <v>5763</v>
      </c>
      <c r="S1315" s="11"/>
      <c r="T1315" s="11"/>
      <c r="U1315" s="10" t="str">
        <f>HYPERLINK("https://pbs.twimg.com/profile_images/898684538188115969/a1QEwxJV.jpg","View")</f>
        <v>View</v>
      </c>
    </row>
    <row r="1316" spans="1:21" ht="40.799999999999997">
      <c r="A1316" s="6">
        <v>43441.577986111108</v>
      </c>
      <c r="B1316" s="7" t="str">
        <f>HYPERLINK("https://twitter.com/FermatVoltaire","@FermatVoltaire")</f>
        <v>@FermatVoltaire</v>
      </c>
      <c r="C1316" s="8" t="s">
        <v>5764</v>
      </c>
      <c r="D1316" s="9" t="s">
        <v>5765</v>
      </c>
      <c r="E1316" s="10" t="str">
        <f>HYPERLINK("https://twitter.com/FermatVoltaire/status/1071024603399684096","1071024603399684096")</f>
        <v>1071024603399684096</v>
      </c>
      <c r="F1316" s="11"/>
      <c r="G1316" s="11"/>
      <c r="H1316" s="11"/>
      <c r="I1316" s="13">
        <v>0</v>
      </c>
      <c r="J1316" s="13">
        <v>0</v>
      </c>
      <c r="K1316" s="14" t="str">
        <f>HYPERLINK("http://www.tweetcaster.com","TweetCaster for Android")</f>
        <v>TweetCaster for Android</v>
      </c>
      <c r="L1316" s="13">
        <v>375</v>
      </c>
      <c r="M1316" s="13">
        <v>186</v>
      </c>
      <c r="N1316" s="13">
        <v>5</v>
      </c>
      <c r="O1316" s="15"/>
      <c r="P1316" s="6">
        <v>40954.544374999998</v>
      </c>
      <c r="Q1316" s="11"/>
      <c r="R1316" s="19" t="s">
        <v>5766</v>
      </c>
      <c r="S1316" s="11"/>
      <c r="T1316" s="11"/>
      <c r="U1316" s="10" t="str">
        <f>HYPERLINK("https://pbs.twimg.com/profile_images/2534221145/8438qnj4ka808h573nu3.jpeg","View")</f>
        <v>View</v>
      </c>
    </row>
    <row r="1317" spans="1:21" ht="20.399999999999999">
      <c r="A1317" s="6">
        <v>43441.577569444446</v>
      </c>
      <c r="B1317" s="7" t="str">
        <f>HYPERLINK("https://twitter.com/AnaBelnGuzmn1","@AnaBelnGuzmn1")</f>
        <v>@AnaBelnGuzmn1</v>
      </c>
      <c r="C1317" s="8" t="s">
        <v>5554</v>
      </c>
      <c r="D1317" s="9" t="s">
        <v>5767</v>
      </c>
      <c r="E1317" s="10" t="str">
        <f>HYPERLINK("https://twitter.com/AnaBelnGuzmn1/status/1071024451708428289","1071024451708428289")</f>
        <v>1071024451708428289</v>
      </c>
      <c r="F1317" s="11"/>
      <c r="G1317" s="11"/>
      <c r="H1317" s="11"/>
      <c r="I1317" s="13">
        <v>0</v>
      </c>
      <c r="J1317" s="13">
        <v>0</v>
      </c>
      <c r="K1317" s="14" t="str">
        <f t="shared" ref="K1317:K1318" si="231">HYPERLINK("http://twitter.com/download/android","Twitter for Android")</f>
        <v>Twitter for Android</v>
      </c>
      <c r="L1317" s="13">
        <v>54</v>
      </c>
      <c r="M1317" s="13">
        <v>156</v>
      </c>
      <c r="N1317" s="13">
        <v>0</v>
      </c>
      <c r="O1317" s="15"/>
      <c r="P1317" s="6">
        <v>43419.712870370371</v>
      </c>
      <c r="Q1317" s="18" t="s">
        <v>5555</v>
      </c>
      <c r="R1317" s="19" t="s">
        <v>5556</v>
      </c>
      <c r="S1317" s="11"/>
      <c r="T1317" s="11"/>
      <c r="U1317" s="10" t="str">
        <f>HYPERLINK("https://pbs.twimg.com/profile_images/1068906531968684033/4vQDgJQ1.jpg","View")</f>
        <v>View</v>
      </c>
    </row>
    <row r="1318" spans="1:21" ht="71.400000000000006">
      <c r="A1318" s="6">
        <v>43441.577407407407</v>
      </c>
      <c r="B1318" s="7" t="str">
        <f>HYPERLINK("https://twitter.com/xPaaarK","@xPaaarK")</f>
        <v>@xPaaarK</v>
      </c>
      <c r="C1318" s="8" t="s">
        <v>5768</v>
      </c>
      <c r="D1318" s="9" t="s">
        <v>5769</v>
      </c>
      <c r="E1318" s="10" t="str">
        <f>HYPERLINK("https://twitter.com/xPaaarK/status/1071024392283570176","1071024392283570176")</f>
        <v>1071024392283570176</v>
      </c>
      <c r="F1318" s="12" t="s">
        <v>5079</v>
      </c>
      <c r="G1318" s="12" t="s">
        <v>5080</v>
      </c>
      <c r="H1318" s="11"/>
      <c r="I1318" s="13">
        <v>0</v>
      </c>
      <c r="J1318" s="13">
        <v>0</v>
      </c>
      <c r="K1318" s="14" t="str">
        <f t="shared" si="231"/>
        <v>Twitter for Android</v>
      </c>
      <c r="L1318" s="13">
        <v>162</v>
      </c>
      <c r="M1318" s="13">
        <v>47</v>
      </c>
      <c r="N1318" s="13">
        <v>1</v>
      </c>
      <c r="O1318" s="15"/>
      <c r="P1318" s="6">
        <v>41153.953715277778</v>
      </c>
      <c r="Q1318" s="11"/>
      <c r="R1318" s="19" t="s">
        <v>5770</v>
      </c>
      <c r="S1318" s="11"/>
      <c r="T1318" s="11"/>
      <c r="U1318" s="10" t="str">
        <f>HYPERLINK("https://pbs.twimg.com/profile_images/1042520985755369472/ZxzZnfaZ.jpg","View")</f>
        <v>View</v>
      </c>
    </row>
    <row r="1319" spans="1:21" ht="30.6">
      <c r="A1319" s="6">
        <v>43441.577256944445</v>
      </c>
      <c r="B1319" s="7" t="str">
        <f>HYPERLINK("https://twitter.com/ddgonz_","@ddgonz_")</f>
        <v>@ddgonz_</v>
      </c>
      <c r="C1319" s="8" t="s">
        <v>5771</v>
      </c>
      <c r="D1319" s="9" t="s">
        <v>5772</v>
      </c>
      <c r="E1319" s="10" t="str">
        <f>HYPERLINK("https://twitter.com/ddgonz_/status/1071024339015909377","1071024339015909377")</f>
        <v>1071024339015909377</v>
      </c>
      <c r="F1319" s="11"/>
      <c r="G1319" s="11"/>
      <c r="H1319" s="11"/>
      <c r="I1319" s="13">
        <v>0</v>
      </c>
      <c r="J1319" s="13">
        <v>0</v>
      </c>
      <c r="K1319" s="14" t="str">
        <f>HYPERLINK("http://twitter.com/download/iphone","Twitter for iPhone")</f>
        <v>Twitter for iPhone</v>
      </c>
      <c r="L1319" s="13">
        <v>64</v>
      </c>
      <c r="M1319" s="13">
        <v>80</v>
      </c>
      <c r="N1319" s="13">
        <v>0</v>
      </c>
      <c r="O1319" s="15"/>
      <c r="P1319" s="6">
        <v>42283.770775462966</v>
      </c>
      <c r="Q1319" s="18" t="s">
        <v>5773</v>
      </c>
      <c r="R1319" s="19" t="s">
        <v>5774</v>
      </c>
      <c r="S1319" s="12" t="s">
        <v>5775</v>
      </c>
      <c r="T1319" s="11"/>
      <c r="U1319" s="10" t="str">
        <f>HYPERLINK("https://pbs.twimg.com/profile_images/1019963036893884442/KtAiYG6m.jpg","View")</f>
        <v>View</v>
      </c>
    </row>
    <row r="1320" spans="1:21" ht="81.599999999999994">
      <c r="A1320" s="6">
        <v>43441.576111111106</v>
      </c>
      <c r="B1320" s="7" t="str">
        <f>HYPERLINK("https://twitter.com/Arena18858359","@Arena18858359")</f>
        <v>@Arena18858359</v>
      </c>
      <c r="C1320" s="8" t="s">
        <v>5132</v>
      </c>
      <c r="D1320" s="9" t="s">
        <v>5776</v>
      </c>
      <c r="E1320" s="10" t="str">
        <f>HYPERLINK("https://twitter.com/Arena18858359/status/1071023922747985920","1071023922747985920")</f>
        <v>1071023922747985920</v>
      </c>
      <c r="F1320" s="12" t="s">
        <v>4900</v>
      </c>
      <c r="G1320" s="12" t="s">
        <v>4901</v>
      </c>
      <c r="H1320" s="11"/>
      <c r="I1320" s="13">
        <v>1</v>
      </c>
      <c r="J1320" s="13">
        <v>1</v>
      </c>
      <c r="K1320" s="14" t="str">
        <f>HYPERLINK("http://twitter.com","Twitter Web Client")</f>
        <v>Twitter Web Client</v>
      </c>
      <c r="L1320" s="13">
        <v>755</v>
      </c>
      <c r="M1320" s="13">
        <v>1525</v>
      </c>
      <c r="N1320" s="13">
        <v>1</v>
      </c>
      <c r="O1320" s="15"/>
      <c r="P1320" s="6">
        <v>43350.452592592592</v>
      </c>
      <c r="Q1320" s="18" t="s">
        <v>42</v>
      </c>
      <c r="R1320" s="19" t="s">
        <v>5135</v>
      </c>
      <c r="S1320" s="11"/>
      <c r="T1320" s="11"/>
      <c r="U1320" s="10" t="str">
        <f>HYPERLINK("https://pbs.twimg.com/profile_images/1039634742386274304/Qn8VC5bf.jpg","View")</f>
        <v>View</v>
      </c>
    </row>
    <row r="1321" spans="1:21" ht="30.6">
      <c r="A1321" s="6">
        <v>43441.574999999997</v>
      </c>
      <c r="B1321" s="7" t="str">
        <f>HYPERLINK("https://twitter.com/debate_es","@debate_es")</f>
        <v>@debate_es</v>
      </c>
      <c r="C1321" s="22" t="s">
        <v>1865</v>
      </c>
      <c r="D1321" s="9" t="s">
        <v>3618</v>
      </c>
      <c r="E1321" s="10" t="str">
        <f>HYPERLINK("https://twitter.com/debate_es/status/1071023519683747840","1071023519683747840")</f>
        <v>1071023519683747840</v>
      </c>
      <c r="F1321" s="12" t="s">
        <v>3620</v>
      </c>
      <c r="G1321" s="11"/>
      <c r="H1321" s="11"/>
      <c r="I1321" s="13">
        <v>9</v>
      </c>
      <c r="J1321" s="13">
        <v>6</v>
      </c>
      <c r="K1321" s="14" t="str">
        <f>HYPERLINK("https://about.twitter.com/products/tweetdeck","TweetDeck")</f>
        <v>TweetDeck</v>
      </c>
      <c r="L1321" s="13">
        <v>1990</v>
      </c>
      <c r="M1321" s="13">
        <v>0</v>
      </c>
      <c r="N1321" s="13">
        <v>26</v>
      </c>
      <c r="O1321" s="15"/>
      <c r="P1321" s="6">
        <v>43258.540625000001</v>
      </c>
      <c r="Q1321" s="11"/>
      <c r="R1321" s="19" t="s">
        <v>1871</v>
      </c>
      <c r="S1321" s="12" t="s">
        <v>1872</v>
      </c>
      <c r="T1321" s="11"/>
      <c r="U1321" s="10" t="str">
        <f>HYPERLINK("https://pbs.twimg.com/profile_images/1022497434029699073/kza_Om7G.jpg","View")</f>
        <v>View</v>
      </c>
    </row>
    <row r="1322" spans="1:21" ht="20.399999999999999">
      <c r="A1322" s="6">
        <v>43441.574594907404</v>
      </c>
      <c r="B1322" s="7" t="str">
        <f>HYPERLINK("https://twitter.com/jovenandaluz","@jovenandaluz")</f>
        <v>@jovenandaluz</v>
      </c>
      <c r="C1322" s="8" t="s">
        <v>5777</v>
      </c>
      <c r="D1322" s="9" t="s">
        <v>5778</v>
      </c>
      <c r="E1322" s="10" t="str">
        <f>HYPERLINK("https://twitter.com/jovenandaluz/status/1071023371935191040","1071023371935191040")</f>
        <v>1071023371935191040</v>
      </c>
      <c r="F1322" s="12" t="s">
        <v>5439</v>
      </c>
      <c r="G1322" s="11"/>
      <c r="H1322" s="11"/>
      <c r="I1322" s="13">
        <v>0</v>
      </c>
      <c r="J1322" s="13">
        <v>0</v>
      </c>
      <c r="K1322" s="14" t="str">
        <f>HYPERLINK("http://twitter.com/download/android","Twitter for Android")</f>
        <v>Twitter for Android</v>
      </c>
      <c r="L1322" s="13">
        <v>2624</v>
      </c>
      <c r="M1322" s="13">
        <v>2680</v>
      </c>
      <c r="N1322" s="13">
        <v>11</v>
      </c>
      <c r="O1322" s="15"/>
      <c r="P1322" s="6">
        <v>41374.977905092594</v>
      </c>
      <c r="Q1322" s="11"/>
      <c r="R1322" s="19" t="s">
        <v>5779</v>
      </c>
      <c r="S1322" s="11"/>
      <c r="T1322" s="11"/>
      <c r="U1322" s="10" t="str">
        <f>HYPERLINK("https://pbs.twimg.com/profile_images/925604270266777601/iLksBSPw.jpg","View")</f>
        <v>View</v>
      </c>
    </row>
    <row r="1323" spans="1:21" ht="51">
      <c r="A1323" s="6">
        <v>43441.574490740742</v>
      </c>
      <c r="B1323" s="7" t="str">
        <f>HYPERLINK("https://twitter.com/PabloHasel","@PabloHasel")</f>
        <v>@PabloHasel</v>
      </c>
      <c r="C1323" s="8" t="s">
        <v>5780</v>
      </c>
      <c r="D1323" s="9" t="s">
        <v>5781</v>
      </c>
      <c r="E1323" s="10" t="str">
        <f>HYPERLINK("https://twitter.com/PabloHasel/status/1071023337172811776","1071023337172811776")</f>
        <v>1071023337172811776</v>
      </c>
      <c r="F1323" s="11"/>
      <c r="G1323" s="11"/>
      <c r="H1323" s="11"/>
      <c r="I1323" s="13">
        <v>475</v>
      </c>
      <c r="J1323" s="13">
        <v>1040</v>
      </c>
      <c r="K1323" s="14" t="str">
        <f t="shared" ref="K1323:K1324" si="232">HYPERLINK("http://twitter.com","Twitter Web Client")</f>
        <v>Twitter Web Client</v>
      </c>
      <c r="L1323" s="13">
        <v>103044</v>
      </c>
      <c r="M1323" s="13">
        <v>1585</v>
      </c>
      <c r="N1323" s="13">
        <v>601</v>
      </c>
      <c r="O1323" s="15"/>
      <c r="P1323" s="6">
        <v>40825.635081018518</v>
      </c>
      <c r="Q1323" s="11"/>
      <c r="R1323" s="19" t="s">
        <v>5782</v>
      </c>
      <c r="S1323" s="12" t="s">
        <v>5783</v>
      </c>
      <c r="T1323" s="11"/>
      <c r="U1323" s="10" t="str">
        <f>HYPERLINK("https://pbs.twimg.com/profile_images/1067414086646972417/7WIKiVV2.jpg","View")</f>
        <v>View</v>
      </c>
    </row>
    <row r="1324" spans="1:21" ht="20.399999999999999">
      <c r="A1324" s="6">
        <v>43441.574340277773</v>
      </c>
      <c r="B1324" s="7" t="str">
        <f>HYPERLINK("https://twitter.com/WTA_ever","@WTA_ever")</f>
        <v>@WTA_ever</v>
      </c>
      <c r="C1324" s="8" t="s">
        <v>5784</v>
      </c>
      <c r="D1324" s="9" t="s">
        <v>2593</v>
      </c>
      <c r="E1324" s="10" t="str">
        <f>HYPERLINK("https://twitter.com/WTA_ever/status/1071023282567176192","1071023282567176192")</f>
        <v>1071023282567176192</v>
      </c>
      <c r="F1324" s="12" t="s">
        <v>2595</v>
      </c>
      <c r="G1324" s="11"/>
      <c r="H1324" s="11"/>
      <c r="I1324" s="13">
        <v>0</v>
      </c>
      <c r="J1324" s="13">
        <v>0</v>
      </c>
      <c r="K1324" s="14" t="str">
        <f t="shared" si="232"/>
        <v>Twitter Web Client</v>
      </c>
      <c r="L1324" s="13">
        <v>294</v>
      </c>
      <c r="M1324" s="13">
        <v>117</v>
      </c>
      <c r="N1324" s="13">
        <v>6</v>
      </c>
      <c r="O1324" s="15"/>
      <c r="P1324" s="6">
        <v>41179.423703703702</v>
      </c>
      <c r="Q1324" s="11"/>
      <c r="R1324" s="19" t="s">
        <v>5785</v>
      </c>
      <c r="S1324" s="11"/>
      <c r="T1324" s="11"/>
      <c r="U1324" s="10" t="str">
        <f>HYPERLINK("https://pbs.twimg.com/profile_images/3565826544/585160cd4830a5994461d69a5af2075e.jpeg","View")</f>
        <v>View</v>
      </c>
    </row>
    <row r="1325" spans="1:21" ht="20.399999999999999">
      <c r="A1325" s="6">
        <v>43441.573171296295</v>
      </c>
      <c r="B1325" s="7" t="str">
        <f>HYPERLINK("https://twitter.com/podemos_dolores","@podemos_dolores")</f>
        <v>@podemos_dolores</v>
      </c>
      <c r="C1325" s="8" t="s">
        <v>2541</v>
      </c>
      <c r="D1325" s="9" t="s">
        <v>2690</v>
      </c>
      <c r="E1325" s="10" t="str">
        <f>HYPERLINK("https://twitter.com/podemos_dolores/status/1071022855557656576","1071022855557656576")</f>
        <v>1071022855557656576</v>
      </c>
      <c r="F1325" s="12" t="s">
        <v>2691</v>
      </c>
      <c r="G1325" s="11"/>
      <c r="H1325" s="11"/>
      <c r="I1325" s="13">
        <v>0</v>
      </c>
      <c r="J1325" s="13">
        <v>0</v>
      </c>
      <c r="K1325" s="14" t="str">
        <f t="shared" ref="K1325:K1326" si="233">HYPERLINK("http://www.facebook.com/twitter","Facebook")</f>
        <v>Facebook</v>
      </c>
      <c r="L1325" s="13">
        <v>267</v>
      </c>
      <c r="M1325" s="13">
        <v>411</v>
      </c>
      <c r="N1325" s="13">
        <v>11</v>
      </c>
      <c r="O1325" s="15"/>
      <c r="P1325" s="6">
        <v>41889.865648148145</v>
      </c>
      <c r="Q1325" s="18" t="s">
        <v>2546</v>
      </c>
      <c r="R1325" s="19" t="s">
        <v>2547</v>
      </c>
      <c r="S1325" s="11"/>
      <c r="T1325" s="11"/>
      <c r="U1325" s="10" t="str">
        <f>HYPERLINK("https://pbs.twimg.com/profile_images/902823341429465089/tje-Rkcl.jpg","View")</f>
        <v>View</v>
      </c>
    </row>
    <row r="1326" spans="1:21" ht="51">
      <c r="A1326" s="6">
        <v>43441.57309027778</v>
      </c>
      <c r="B1326" s="7" t="str">
        <f>HYPERLINK("https://twitter.com/SEBASTIANAGONZA","@SEBASTIANAGONZA")</f>
        <v>@SEBASTIANAGONZA</v>
      </c>
      <c r="C1326" s="8" t="s">
        <v>5786</v>
      </c>
      <c r="D1326" s="9" t="s">
        <v>5787</v>
      </c>
      <c r="E1326" s="10" t="str">
        <f>HYPERLINK("https://twitter.com/SEBASTIANAGONZA/status/1071022827862667264","1071022827862667264")</f>
        <v>1071022827862667264</v>
      </c>
      <c r="F1326" s="12" t="s">
        <v>5788</v>
      </c>
      <c r="G1326" s="11"/>
      <c r="H1326" s="11"/>
      <c r="I1326" s="13">
        <v>0</v>
      </c>
      <c r="J1326" s="13">
        <v>0</v>
      </c>
      <c r="K1326" s="14" t="str">
        <f t="shared" si="233"/>
        <v>Facebook</v>
      </c>
      <c r="L1326" s="13">
        <v>1183</v>
      </c>
      <c r="M1326" s="13">
        <v>644</v>
      </c>
      <c r="N1326" s="13">
        <v>15</v>
      </c>
      <c r="O1326" s="15"/>
      <c r="P1326" s="6">
        <v>41187.207175925927</v>
      </c>
      <c r="Q1326" s="11"/>
      <c r="R1326" s="17"/>
      <c r="S1326" s="11"/>
      <c r="T1326" s="11"/>
      <c r="U1326" s="10" t="str">
        <f>HYPERLINK("https://pbs.twimg.com/profile_images/460871804995649537/ZPQE8qo5.jpeg","View")</f>
        <v>View</v>
      </c>
    </row>
    <row r="1327" spans="1:21" ht="40.799999999999997">
      <c r="A1327" s="6">
        <v>43441.573067129633</v>
      </c>
      <c r="B1327" s="7" t="str">
        <f>HYPERLINK("https://twitter.com/XaviOnFire","@XaviOnFire")</f>
        <v>@XaviOnFire</v>
      </c>
      <c r="C1327" s="8" t="s">
        <v>3794</v>
      </c>
      <c r="D1327" s="9" t="s">
        <v>879</v>
      </c>
      <c r="E1327" s="10" t="str">
        <f>HYPERLINK("https://twitter.com/XaviOnFire/status/1071022821416030209","1071022821416030209")</f>
        <v>1071022821416030209</v>
      </c>
      <c r="F1327" s="12" t="s">
        <v>881</v>
      </c>
      <c r="G1327" s="11"/>
      <c r="H1327" s="11"/>
      <c r="I1327" s="13">
        <v>1</v>
      </c>
      <c r="J1327" s="13">
        <v>2</v>
      </c>
      <c r="K1327" s="14" t="str">
        <f>HYPERLINK("https://buffer.com","Buffer")</f>
        <v>Buffer</v>
      </c>
      <c r="L1327" s="13">
        <v>9918</v>
      </c>
      <c r="M1327" s="13">
        <v>7380</v>
      </c>
      <c r="N1327" s="13">
        <v>42</v>
      </c>
      <c r="O1327" s="15"/>
      <c r="P1327" s="6">
        <v>41330.707037037035</v>
      </c>
      <c r="Q1327" s="11"/>
      <c r="R1327" s="19" t="s">
        <v>3796</v>
      </c>
      <c r="S1327" s="12" t="s">
        <v>3797</v>
      </c>
      <c r="T1327" s="11"/>
      <c r="U1327" s="10" t="str">
        <f>HYPERLINK("https://pbs.twimg.com/profile_images/853940160903479296/W491T-6w.jpg","View")</f>
        <v>View</v>
      </c>
    </row>
    <row r="1328" spans="1:21" ht="51">
      <c r="A1328" s="6">
        <v>43441.57298611111</v>
      </c>
      <c r="B1328" s="7" t="str">
        <f>HYPERLINK("https://twitter.com/MateoGM1965","@MateoGM1965")</f>
        <v>@MateoGM1965</v>
      </c>
      <c r="C1328" s="8" t="s">
        <v>2692</v>
      </c>
      <c r="D1328" s="9" t="s">
        <v>2693</v>
      </c>
      <c r="E1328" s="10" t="str">
        <f>HYPERLINK("https://twitter.com/MateoGM1965/status/1071022790227226624","1071022790227226624")</f>
        <v>1071022790227226624</v>
      </c>
      <c r="F1328" s="12" t="s">
        <v>2694</v>
      </c>
      <c r="G1328" s="11"/>
      <c r="H1328" s="11"/>
      <c r="I1328" s="13">
        <v>0</v>
      </c>
      <c r="J1328" s="13">
        <v>0</v>
      </c>
      <c r="K1328" s="14" t="str">
        <f>HYPERLINK("http://twitter.com/download/android","Twitter for Android")</f>
        <v>Twitter for Android</v>
      </c>
      <c r="L1328" s="13">
        <v>51</v>
      </c>
      <c r="M1328" s="13">
        <v>168</v>
      </c>
      <c r="N1328" s="13">
        <v>0</v>
      </c>
      <c r="O1328" s="15"/>
      <c r="P1328" s="6">
        <v>43398.495347222226</v>
      </c>
      <c r="Q1328" s="18" t="s">
        <v>26</v>
      </c>
      <c r="R1328" s="19" t="s">
        <v>2695</v>
      </c>
      <c r="S1328" s="12" t="s">
        <v>2696</v>
      </c>
      <c r="T1328" s="11"/>
      <c r="U1328" s="10" t="str">
        <f>HYPERLINK("https://pbs.twimg.com/profile_images/1055405184724205568/eXYaoBEU.jpg","View")</f>
        <v>View</v>
      </c>
    </row>
    <row r="1329" spans="1:21" ht="30.6">
      <c r="A1329" s="6">
        <v>43441.572233796294</v>
      </c>
      <c r="B1329" s="7" t="str">
        <f>HYPERLINK("https://twitter.com/ontibe","@ontibe")</f>
        <v>@ontibe</v>
      </c>
      <c r="C1329" s="8" t="s">
        <v>5789</v>
      </c>
      <c r="D1329" s="9" t="s">
        <v>5054</v>
      </c>
      <c r="E1329" s="10" t="str">
        <f>HYPERLINK("https://twitter.com/ontibe/status/1071022517656137728","1071022517656137728")</f>
        <v>1071022517656137728</v>
      </c>
      <c r="F1329" s="12" t="s">
        <v>5055</v>
      </c>
      <c r="G1329" s="11"/>
      <c r="H1329" s="11"/>
      <c r="I1329" s="13">
        <v>0</v>
      </c>
      <c r="J1329" s="13">
        <v>0</v>
      </c>
      <c r="K1329" s="14" t="str">
        <f>HYPERLINK("http://twitter.com","Twitter Web Client")</f>
        <v>Twitter Web Client</v>
      </c>
      <c r="L1329" s="13">
        <v>462</v>
      </c>
      <c r="M1329" s="13">
        <v>1373</v>
      </c>
      <c r="N1329" s="13">
        <v>1</v>
      </c>
      <c r="O1329" s="15"/>
      <c r="P1329" s="6">
        <v>40673.627766203703</v>
      </c>
      <c r="Q1329" s="18" t="s">
        <v>5790</v>
      </c>
      <c r="R1329" s="19" t="s">
        <v>5791</v>
      </c>
      <c r="S1329" s="11"/>
      <c r="T1329" s="11"/>
      <c r="U1329" s="10" t="str">
        <f>HYPERLINK("https://pbs.twimg.com/profile_images/867069058037972993/9c2-Wrp7.jpg","View")</f>
        <v>View</v>
      </c>
    </row>
    <row r="1330" spans="1:21" ht="40.799999999999997">
      <c r="A1330" s="6">
        <v>43441.572199074071</v>
      </c>
      <c r="B1330" s="7" t="str">
        <f>HYPERLINK("https://twitter.com/blogkeats","@blogkeats")</f>
        <v>@blogkeats</v>
      </c>
      <c r="C1330" s="8" t="s">
        <v>5792</v>
      </c>
      <c r="D1330" s="9" t="s">
        <v>5793</v>
      </c>
      <c r="E1330" s="10" t="str">
        <f>HYPERLINK("https://twitter.com/blogkeats/status/1071022505006194689","1071022505006194689")</f>
        <v>1071022505006194689</v>
      </c>
      <c r="F1330" s="11"/>
      <c r="G1330" s="12" t="s">
        <v>5794</v>
      </c>
      <c r="H1330" s="11"/>
      <c r="I1330" s="13">
        <v>1</v>
      </c>
      <c r="J1330" s="13">
        <v>3</v>
      </c>
      <c r="K1330" s="14" t="str">
        <f>HYPERLINK("http://twitter.com/download/iphone","Twitter for iPhone")</f>
        <v>Twitter for iPhone</v>
      </c>
      <c r="L1330" s="13">
        <v>857</v>
      </c>
      <c r="M1330" s="13">
        <v>2567</v>
      </c>
      <c r="N1330" s="13">
        <v>10</v>
      </c>
      <c r="O1330" s="15"/>
      <c r="P1330" s="6">
        <v>42675.250173611115</v>
      </c>
      <c r="Q1330" s="18" t="s">
        <v>246</v>
      </c>
      <c r="R1330" s="19" t="s">
        <v>5795</v>
      </c>
      <c r="S1330" s="12" t="s">
        <v>5796</v>
      </c>
      <c r="T1330" s="11"/>
      <c r="U1330" s="10" t="str">
        <f>HYPERLINK("https://pbs.twimg.com/profile_images/805729743899426816/zrE6547R.jpg","View")</f>
        <v>View</v>
      </c>
    </row>
    <row r="1331" spans="1:21" ht="40.799999999999997">
      <c r="A1331" s="6">
        <v>43441.571979166663</v>
      </c>
      <c r="B1331" s="7" t="str">
        <f>HYPERLINK("https://twitter.com/ELB_68","@ELB_68")</f>
        <v>@ELB_68</v>
      </c>
      <c r="C1331" s="8" t="s">
        <v>5797</v>
      </c>
      <c r="D1331" s="9" t="s">
        <v>5798</v>
      </c>
      <c r="E1331" s="10" t="str">
        <f>HYPERLINK("https://twitter.com/ELB_68/status/1071022427340267520","1071022427340267520")</f>
        <v>1071022427340267520</v>
      </c>
      <c r="F1331" s="11"/>
      <c r="G1331" s="11"/>
      <c r="H1331" s="11"/>
      <c r="I1331" s="13">
        <v>0</v>
      </c>
      <c r="J1331" s="13">
        <v>3</v>
      </c>
      <c r="K1331" s="14" t="str">
        <f>HYPERLINK("http://twitter.com/download/android","Twitter for Android")</f>
        <v>Twitter for Android</v>
      </c>
      <c r="L1331" s="13">
        <v>684</v>
      </c>
      <c r="M1331" s="13">
        <v>670</v>
      </c>
      <c r="N1331" s="13">
        <v>19</v>
      </c>
      <c r="O1331" s="15"/>
      <c r="P1331" s="6">
        <v>41199.897638888891</v>
      </c>
      <c r="Q1331" s="11"/>
      <c r="R1331" s="19" t="s">
        <v>5799</v>
      </c>
      <c r="S1331" s="11"/>
      <c r="T1331" s="11"/>
      <c r="U1331" s="10" t="str">
        <f>HYPERLINK("https://pbs.twimg.com/profile_images/1050878829642833920/W6l5WSW7.jpg","View")</f>
        <v>View</v>
      </c>
    </row>
    <row r="1332" spans="1:21" ht="40.799999999999997">
      <c r="A1332" s="6">
        <v>43441.571909722217</v>
      </c>
      <c r="B1332" s="7" t="str">
        <f>HYPERLINK("https://twitter.com/canalls77","@canalls77")</f>
        <v>@canalls77</v>
      </c>
      <c r="C1332" s="8" t="s">
        <v>2697</v>
      </c>
      <c r="D1332" s="9" t="s">
        <v>2698</v>
      </c>
      <c r="E1332" s="10" t="str">
        <f>HYPERLINK("https://twitter.com/canalls77/status/1071022398277853189","1071022398277853189")</f>
        <v>1071022398277853189</v>
      </c>
      <c r="F1332" s="11"/>
      <c r="G1332" s="11"/>
      <c r="H1332" s="11"/>
      <c r="I1332" s="13">
        <v>11</v>
      </c>
      <c r="J1332" s="13">
        <v>11</v>
      </c>
      <c r="K1332" s="14" t="str">
        <f>HYPERLINK("http://twitter.com","Twitter Web Client")</f>
        <v>Twitter Web Client</v>
      </c>
      <c r="L1332" s="13">
        <v>12753</v>
      </c>
      <c r="M1332" s="13">
        <v>8670</v>
      </c>
      <c r="N1332" s="13">
        <v>97</v>
      </c>
      <c r="O1332" s="15"/>
      <c r="P1332" s="6">
        <v>40594.57130787037</v>
      </c>
      <c r="Q1332" s="18" t="s">
        <v>2699</v>
      </c>
      <c r="R1332" s="19" t="s">
        <v>2700</v>
      </c>
      <c r="S1332" s="11"/>
      <c r="T1332" s="11"/>
      <c r="U1332" s="10" t="str">
        <f>HYPERLINK("https://pbs.twimg.com/profile_images/1070987418172575746/SXEGUNP5.jpg","View")</f>
        <v>View</v>
      </c>
    </row>
    <row r="1333" spans="1:21" ht="40.799999999999997">
      <c r="A1333" s="6">
        <v>43441.571504629625</v>
      </c>
      <c r="B1333" s="7" t="str">
        <f>HYPERLINK("https://twitter.com/el54mac","@el54mac")</f>
        <v>@el54mac</v>
      </c>
      <c r="C1333" s="8" t="s">
        <v>5800</v>
      </c>
      <c r="D1333" s="9" t="s">
        <v>5801</v>
      </c>
      <c r="E1333" s="10" t="str">
        <f>HYPERLINK("https://twitter.com/el54mac/status/1071022255398887429","1071022255398887429")</f>
        <v>1071022255398887429</v>
      </c>
      <c r="F1333" s="11"/>
      <c r="G1333" s="11"/>
      <c r="H1333" s="11"/>
      <c r="I1333" s="13">
        <v>0</v>
      </c>
      <c r="J1333" s="13">
        <v>0</v>
      </c>
      <c r="K1333" s="14" t="str">
        <f t="shared" ref="K1333:K1335" si="234">HYPERLINK("http://twitter.com/download/android","Twitter for Android")</f>
        <v>Twitter for Android</v>
      </c>
      <c r="L1333" s="13">
        <v>124</v>
      </c>
      <c r="M1333" s="13">
        <v>1</v>
      </c>
      <c r="N1333" s="13">
        <v>3</v>
      </c>
      <c r="O1333" s="15"/>
      <c r="P1333" s="6">
        <v>41288.887303240743</v>
      </c>
      <c r="Q1333" s="18" t="s">
        <v>5802</v>
      </c>
      <c r="R1333" s="19" t="s">
        <v>5803</v>
      </c>
      <c r="S1333" s="11"/>
      <c r="T1333" s="11"/>
      <c r="U1333" s="10" t="str">
        <f>HYPERLINK("https://pbs.twimg.com/profile_images/1007666871703924741/O2N1qgsZ.jpg","View")</f>
        <v>View</v>
      </c>
    </row>
    <row r="1334" spans="1:21" ht="30.6">
      <c r="A1334" s="6">
        <v>43441.571157407408</v>
      </c>
      <c r="B1334" s="7" t="str">
        <f>HYPERLINK("https://twitter.com/Cat72222","@Cat72222")</f>
        <v>@Cat72222</v>
      </c>
      <c r="C1334" s="8" t="s">
        <v>5804</v>
      </c>
      <c r="D1334" s="9" t="s">
        <v>5805</v>
      </c>
      <c r="E1334" s="10" t="str">
        <f>HYPERLINK("https://twitter.com/Cat72222/status/1071022127665565701","1071022127665565701")</f>
        <v>1071022127665565701</v>
      </c>
      <c r="F1334" s="12" t="s">
        <v>5806</v>
      </c>
      <c r="G1334" s="11"/>
      <c r="H1334" s="11"/>
      <c r="I1334" s="13">
        <v>45</v>
      </c>
      <c r="J1334" s="13">
        <v>39</v>
      </c>
      <c r="K1334" s="14" t="str">
        <f t="shared" si="234"/>
        <v>Twitter for Android</v>
      </c>
      <c r="L1334" s="13">
        <v>6272</v>
      </c>
      <c r="M1334" s="13">
        <v>6876</v>
      </c>
      <c r="N1334" s="13">
        <v>40</v>
      </c>
      <c r="O1334" s="15"/>
      <c r="P1334" s="6">
        <v>42383.781493055554</v>
      </c>
      <c r="Q1334" s="18" t="s">
        <v>5807</v>
      </c>
      <c r="R1334" s="19" t="s">
        <v>5808</v>
      </c>
      <c r="S1334" s="11"/>
      <c r="T1334" s="11"/>
      <c r="U1334" s="10" t="str">
        <f>HYPERLINK("https://pbs.twimg.com/profile_images/1070447707733528577/L1n2EjcJ.jpg","View")</f>
        <v>View</v>
      </c>
    </row>
    <row r="1335" spans="1:21" ht="61.2">
      <c r="A1335" s="6">
        <v>43441.571145833332</v>
      </c>
      <c r="B1335" s="7" t="str">
        <f>HYPERLINK("https://twitter.com/Duelelab","@Duelelab")</f>
        <v>@Duelelab</v>
      </c>
      <c r="C1335" s="8" t="s">
        <v>3972</v>
      </c>
      <c r="D1335" s="9" t="s">
        <v>5809</v>
      </c>
      <c r="E1335" s="10" t="str">
        <f>HYPERLINK("https://twitter.com/Duelelab/status/1071022121877471233","1071022121877471233")</f>
        <v>1071022121877471233</v>
      </c>
      <c r="F1335" s="12" t="s">
        <v>732</v>
      </c>
      <c r="G1335" s="11"/>
      <c r="H1335" s="11"/>
      <c r="I1335" s="13">
        <v>15</v>
      </c>
      <c r="J1335" s="13">
        <v>24</v>
      </c>
      <c r="K1335" s="14" t="str">
        <f t="shared" si="234"/>
        <v>Twitter for Android</v>
      </c>
      <c r="L1335" s="13">
        <v>10201</v>
      </c>
      <c r="M1335" s="13">
        <v>3426</v>
      </c>
      <c r="N1335" s="13">
        <v>102</v>
      </c>
      <c r="O1335" s="15"/>
      <c r="P1335" s="6">
        <v>41830.764004629629</v>
      </c>
      <c r="Q1335" s="11"/>
      <c r="R1335" s="19" t="s">
        <v>3977</v>
      </c>
      <c r="S1335" s="11"/>
      <c r="T1335" s="11"/>
      <c r="U1335" s="10" t="str">
        <f>HYPERLINK("https://pbs.twimg.com/profile_images/914050990097223680/V25T08jL.jpg","View")</f>
        <v>View</v>
      </c>
    </row>
    <row r="1336" spans="1:21" ht="30.6">
      <c r="A1336" s="6">
        <v>43441.571134259255</v>
      </c>
      <c r="B1336" s="7" t="str">
        <f>HYPERLINK("https://twitter.com/platonspain","@platonspain")</f>
        <v>@platonspain</v>
      </c>
      <c r="C1336" s="8" t="s">
        <v>2701</v>
      </c>
      <c r="D1336" s="9" t="s">
        <v>2703</v>
      </c>
      <c r="E1336" s="10" t="str">
        <f>HYPERLINK("https://twitter.com/platonspain/status/1071022118530400257","1071022118530400257")</f>
        <v>1071022118530400257</v>
      </c>
      <c r="F1336" s="11"/>
      <c r="G1336" s="12" t="s">
        <v>2704</v>
      </c>
      <c r="H1336" s="11"/>
      <c r="I1336" s="13">
        <v>1</v>
      </c>
      <c r="J1336" s="13">
        <v>0</v>
      </c>
      <c r="K1336" s="14" t="str">
        <f>HYPERLINK("http://twitter.com/download/iphone","Twitter for iPhone")</f>
        <v>Twitter for iPhone</v>
      </c>
      <c r="L1336" s="13">
        <v>649</v>
      </c>
      <c r="M1336" s="13">
        <v>931</v>
      </c>
      <c r="N1336" s="13">
        <v>14</v>
      </c>
      <c r="O1336" s="15"/>
      <c r="P1336" s="6">
        <v>40686.94767361111</v>
      </c>
      <c r="Q1336" s="18" t="s">
        <v>2705</v>
      </c>
      <c r="R1336" s="19" t="s">
        <v>2706</v>
      </c>
      <c r="S1336" s="11"/>
      <c r="T1336" s="11"/>
      <c r="U1336" s="10" t="str">
        <f>HYPERLINK("https://pbs.twimg.com/profile_images/1047533512532918273/ARat1tQl.jpg","View")</f>
        <v>View</v>
      </c>
    </row>
    <row r="1337" spans="1:21" ht="40.799999999999997">
      <c r="A1337" s="6">
        <v>43441.570775462962</v>
      </c>
      <c r="B1337" s="7" t="str">
        <f>HYPERLINK("https://twitter.com/Richie_gz","@Richie_gz")</f>
        <v>@Richie_gz</v>
      </c>
      <c r="C1337" s="8" t="s">
        <v>5810</v>
      </c>
      <c r="D1337" s="9" t="s">
        <v>5811</v>
      </c>
      <c r="E1337" s="10" t="str">
        <f>HYPERLINK("https://twitter.com/Richie_gz/status/1071021987970068481","1071021987970068481")</f>
        <v>1071021987970068481</v>
      </c>
      <c r="F1337" s="12" t="s">
        <v>5812</v>
      </c>
      <c r="G1337" s="11"/>
      <c r="H1337" s="11"/>
      <c r="I1337" s="13">
        <v>0</v>
      </c>
      <c r="J1337" s="13">
        <v>0</v>
      </c>
      <c r="K1337" s="14" t="str">
        <f>HYPERLINK("http://www.facebook.com/twitter","Facebook")</f>
        <v>Facebook</v>
      </c>
      <c r="L1337" s="13">
        <v>137</v>
      </c>
      <c r="M1337" s="13">
        <v>71</v>
      </c>
      <c r="N1337" s="13">
        <v>0</v>
      </c>
      <c r="O1337" s="15"/>
      <c r="P1337" s="6">
        <v>41286.617581018516</v>
      </c>
      <c r="Q1337" s="18" t="s">
        <v>5813</v>
      </c>
      <c r="R1337" s="19" t="s">
        <v>5814</v>
      </c>
      <c r="S1337" s="12" t="s">
        <v>5815</v>
      </c>
      <c r="T1337" s="11"/>
      <c r="U1337" s="10" t="str">
        <f>HYPERLINK("https://pbs.twimg.com/profile_images/3098812624/381c969f2da82a539e77c2e8e0075b50.jpeg","View")</f>
        <v>View</v>
      </c>
    </row>
    <row r="1338" spans="1:21" ht="30.6">
      <c r="A1338" s="6">
        <v>43441.570543981477</v>
      </c>
      <c r="B1338" s="7" t="str">
        <f>HYPERLINK("https://twitter.com/SoniaMaica","@SoniaMaica")</f>
        <v>@SoniaMaica</v>
      </c>
      <c r="C1338" s="8" t="s">
        <v>2707</v>
      </c>
      <c r="D1338" s="9" t="s">
        <v>2708</v>
      </c>
      <c r="E1338" s="10" t="str">
        <f>HYPERLINK("https://twitter.com/SoniaMaica/status/1071021905958920192","1071021905958920192")</f>
        <v>1071021905958920192</v>
      </c>
      <c r="F1338" s="11"/>
      <c r="G1338" s="12" t="s">
        <v>2709</v>
      </c>
      <c r="H1338" s="11"/>
      <c r="I1338" s="13">
        <v>2</v>
      </c>
      <c r="J1338" s="13">
        <v>2</v>
      </c>
      <c r="K1338" s="14" t="str">
        <f>HYPERLINK("http://twitter.com/download/iphone","Twitter for iPhone")</f>
        <v>Twitter for iPhone</v>
      </c>
      <c r="L1338" s="13">
        <v>932</v>
      </c>
      <c r="M1338" s="13">
        <v>771</v>
      </c>
      <c r="N1338" s="13">
        <v>0</v>
      </c>
      <c r="O1338" s="15"/>
      <c r="P1338" s="6">
        <v>42226.248460648145</v>
      </c>
      <c r="Q1338" s="11"/>
      <c r="R1338" s="19" t="s">
        <v>2712</v>
      </c>
      <c r="S1338" s="11"/>
      <c r="T1338" s="11"/>
      <c r="U1338" s="10" t="str">
        <f>HYPERLINK("https://pbs.twimg.com/profile_images/1039671955488743424/B_2NzcTs.jpg","View")</f>
        <v>View</v>
      </c>
    </row>
    <row r="1339" spans="1:21" ht="51">
      <c r="A1339" s="6">
        <v>43441.570011574076</v>
      </c>
      <c r="B1339" s="7" t="str">
        <f>HYPERLINK("https://twitter.com/AdeSiracusa","@AdeSiracusa")</f>
        <v>@AdeSiracusa</v>
      </c>
      <c r="C1339" s="8" t="s">
        <v>682</v>
      </c>
      <c r="D1339" s="9" t="s">
        <v>5816</v>
      </c>
      <c r="E1339" s="10" t="str">
        <f>HYPERLINK("https://twitter.com/AdeSiracusa/status/1071021711104069633","1071021711104069633")</f>
        <v>1071021711104069633</v>
      </c>
      <c r="F1339" s="12" t="s">
        <v>40</v>
      </c>
      <c r="G1339" s="11"/>
      <c r="H1339" s="11"/>
      <c r="I1339" s="13">
        <v>0</v>
      </c>
      <c r="J1339" s="13">
        <v>0</v>
      </c>
      <c r="K1339" s="14" t="str">
        <f>HYPERLINK("http://www.republicosvenezuela.com/","AdeSiracusa")</f>
        <v>AdeSiracusa</v>
      </c>
      <c r="L1339" s="13">
        <v>4091</v>
      </c>
      <c r="M1339" s="13">
        <v>4122</v>
      </c>
      <c r="N1339" s="13">
        <v>12</v>
      </c>
      <c r="O1339" s="15"/>
      <c r="P1339" s="6">
        <v>42958.576388888891</v>
      </c>
      <c r="Q1339" s="18" t="s">
        <v>689</v>
      </c>
      <c r="R1339" s="19" t="s">
        <v>690</v>
      </c>
      <c r="S1339" s="11"/>
      <c r="T1339" s="11"/>
      <c r="U1339" s="10" t="str">
        <f>HYPERLINK("https://pbs.twimg.com/profile_images/895978354591105024/x2wNXrPl.jpg","View")</f>
        <v>View</v>
      </c>
    </row>
    <row r="1340" spans="1:21" ht="40.799999999999997">
      <c r="A1340" s="6">
        <v>43441.569884259261</v>
      </c>
      <c r="B1340" s="7" t="str">
        <f>HYPERLINK("https://twitter.com/RadioSportDjs","@RadioSportDjs")</f>
        <v>@RadioSportDjs</v>
      </c>
      <c r="C1340" s="8" t="s">
        <v>5817</v>
      </c>
      <c r="D1340" s="9" t="s">
        <v>5818</v>
      </c>
      <c r="E1340" s="10" t="str">
        <f>HYPERLINK("https://twitter.com/RadioSportDjs/status/1071021667810504704","1071021667810504704")</f>
        <v>1071021667810504704</v>
      </c>
      <c r="F1340" s="12" t="s">
        <v>5819</v>
      </c>
      <c r="G1340" s="11"/>
      <c r="H1340" s="11"/>
      <c r="I1340" s="13">
        <v>0</v>
      </c>
      <c r="J1340" s="13">
        <v>0</v>
      </c>
      <c r="K1340" s="14" t="str">
        <f>HYPERLINK("http://twitter.com","Twitter Web Client")</f>
        <v>Twitter Web Client</v>
      </c>
      <c r="L1340" s="13">
        <v>2110</v>
      </c>
      <c r="M1340" s="13">
        <v>2053</v>
      </c>
      <c r="N1340" s="13">
        <v>24</v>
      </c>
      <c r="O1340" s="15"/>
      <c r="P1340" s="6">
        <v>41551.462199074071</v>
      </c>
      <c r="Q1340" s="18" t="s">
        <v>42</v>
      </c>
      <c r="R1340" s="19" t="s">
        <v>5822</v>
      </c>
      <c r="S1340" s="12" t="s">
        <v>5823</v>
      </c>
      <c r="T1340" s="11"/>
      <c r="U1340" s="10" t="str">
        <f>HYPERLINK("https://pbs.twimg.com/profile_images/378800000627895027/e0f63bdea2f7df7fc09d2a06e3bd2819.png","View")</f>
        <v>View</v>
      </c>
    </row>
    <row r="1341" spans="1:21" ht="81.599999999999994">
      <c r="A1341" s="6">
        <v>43441.56925925926</v>
      </c>
      <c r="B1341" s="7" t="str">
        <f>HYPERLINK("https://twitter.com/alfonsojag","@alfonsojag")</f>
        <v>@alfonsojag</v>
      </c>
      <c r="C1341" s="8" t="s">
        <v>2714</v>
      </c>
      <c r="D1341" s="9" t="s">
        <v>2715</v>
      </c>
      <c r="E1341" s="10" t="str">
        <f>HYPERLINK("https://twitter.com/alfonsojag/status/1071021438264664065","1071021438264664065")</f>
        <v>1071021438264664065</v>
      </c>
      <c r="F1341" s="12" t="s">
        <v>1890</v>
      </c>
      <c r="G1341" s="12" t="s">
        <v>1891</v>
      </c>
      <c r="H1341" s="11"/>
      <c r="I1341" s="13">
        <v>1</v>
      </c>
      <c r="J1341" s="13">
        <v>2</v>
      </c>
      <c r="K1341" s="14" t="str">
        <f t="shared" ref="K1341:K1343" si="235">HYPERLINK("http://twitter.com/download/android","Twitter for Android")</f>
        <v>Twitter for Android</v>
      </c>
      <c r="L1341" s="13">
        <v>1215</v>
      </c>
      <c r="M1341" s="13">
        <v>1506</v>
      </c>
      <c r="N1341" s="13">
        <v>28</v>
      </c>
      <c r="O1341" s="15"/>
      <c r="P1341" s="6">
        <v>40691.907048611109</v>
      </c>
      <c r="Q1341" s="18" t="s">
        <v>404</v>
      </c>
      <c r="R1341" s="19" t="s">
        <v>2719</v>
      </c>
      <c r="S1341" s="11"/>
      <c r="T1341" s="11"/>
      <c r="U1341" s="10" t="str">
        <f>HYPERLINK("https://pbs.twimg.com/profile_images/980927482529484801/U2R2WD8L.jpg","View")</f>
        <v>View</v>
      </c>
    </row>
    <row r="1342" spans="1:21" ht="20.399999999999999">
      <c r="A1342" s="6">
        <v>43441.568888888884</v>
      </c>
      <c r="B1342" s="7" t="str">
        <f>HYPERLINK("https://twitter.com/flauisa","@flauisa")</f>
        <v>@flauisa</v>
      </c>
      <c r="C1342" s="8" t="s">
        <v>5824</v>
      </c>
      <c r="D1342" s="9" t="s">
        <v>5042</v>
      </c>
      <c r="E1342" s="10" t="str">
        <f>HYPERLINK("https://twitter.com/flauisa/status/1071021304415948805","1071021304415948805")</f>
        <v>1071021304415948805</v>
      </c>
      <c r="F1342" s="12" t="s">
        <v>5043</v>
      </c>
      <c r="G1342" s="11"/>
      <c r="H1342" s="11"/>
      <c r="I1342" s="13">
        <v>0</v>
      </c>
      <c r="J1342" s="13">
        <v>0</v>
      </c>
      <c r="K1342" s="14" t="str">
        <f t="shared" si="235"/>
        <v>Twitter for Android</v>
      </c>
      <c r="L1342" s="13">
        <v>2136</v>
      </c>
      <c r="M1342" s="13">
        <v>3615</v>
      </c>
      <c r="N1342" s="13">
        <v>30</v>
      </c>
      <c r="O1342" s="15"/>
      <c r="P1342" s="6">
        <v>40965.622615740736</v>
      </c>
      <c r="Q1342" s="18" t="s">
        <v>5211</v>
      </c>
      <c r="R1342" s="17"/>
      <c r="S1342" s="11"/>
      <c r="T1342" s="11"/>
      <c r="U1342" s="10" t="str">
        <f>HYPERLINK("https://pbs.twimg.com/profile_images/968954978944548866/_17zK01W.jpg","View")</f>
        <v>View</v>
      </c>
    </row>
    <row r="1343" spans="1:21" ht="40.799999999999997">
      <c r="A1343" s="6">
        <v>43441.568668981483</v>
      </c>
      <c r="B1343" s="7" t="str">
        <f>HYPERLINK("https://twitter.com/Kike47690999","@Kike47690999")</f>
        <v>@Kike47690999</v>
      </c>
      <c r="C1343" s="8" t="s">
        <v>5825</v>
      </c>
      <c r="D1343" s="9" t="s">
        <v>5826</v>
      </c>
      <c r="E1343" s="10" t="str">
        <f>HYPERLINK("https://twitter.com/Kike47690999/status/1071021226531921921","1071021226531921921")</f>
        <v>1071021226531921921</v>
      </c>
      <c r="F1343" s="11"/>
      <c r="G1343" s="11"/>
      <c r="H1343" s="11"/>
      <c r="I1343" s="13">
        <v>0</v>
      </c>
      <c r="J1343" s="13">
        <v>1</v>
      </c>
      <c r="K1343" s="14" t="str">
        <f t="shared" si="235"/>
        <v>Twitter for Android</v>
      </c>
      <c r="L1343" s="13">
        <v>274</v>
      </c>
      <c r="M1343" s="13">
        <v>166</v>
      </c>
      <c r="N1343" s="13">
        <v>5</v>
      </c>
      <c r="O1343" s="15"/>
      <c r="P1343" s="6">
        <v>43308.545219907406</v>
      </c>
      <c r="Q1343" s="11"/>
      <c r="R1343" s="19" t="s">
        <v>5827</v>
      </c>
      <c r="S1343" s="11"/>
      <c r="T1343" s="11"/>
      <c r="U1343" s="10" t="str">
        <f>HYPERLINK("https://pbs.twimg.com/profile_images/1022800543411003392/clhHdZLa.jpg","View")</f>
        <v>View</v>
      </c>
    </row>
    <row r="1344" spans="1:21" ht="20.399999999999999">
      <c r="A1344" s="6">
        <v>43441.568090277782</v>
      </c>
      <c r="B1344" s="7" t="str">
        <f>HYPERLINK("https://twitter.com/Albertomdp","@Albertomdp")</f>
        <v>@Albertomdp</v>
      </c>
      <c r="C1344" s="8" t="s">
        <v>5828</v>
      </c>
      <c r="D1344" s="9" t="s">
        <v>5829</v>
      </c>
      <c r="E1344" s="10" t="str">
        <f>HYPERLINK("https://twitter.com/Albertomdp/status/1071021016913207299","1071021016913207299")</f>
        <v>1071021016913207299</v>
      </c>
      <c r="F1344" s="11"/>
      <c r="G1344" s="11"/>
      <c r="H1344" s="11"/>
      <c r="I1344" s="13">
        <v>17</v>
      </c>
      <c r="J1344" s="13">
        <v>24</v>
      </c>
      <c r="K1344" s="14" t="str">
        <f t="shared" ref="K1344:K1346" si="236">HYPERLINK("http://twitter.com","Twitter Web Client")</f>
        <v>Twitter Web Client</v>
      </c>
      <c r="L1344" s="13">
        <v>1647</v>
      </c>
      <c r="M1344" s="13">
        <v>1524</v>
      </c>
      <c r="N1344" s="13">
        <v>61</v>
      </c>
      <c r="O1344" s="15"/>
      <c r="P1344" s="6">
        <v>40213.436840277776</v>
      </c>
      <c r="Q1344" s="18" t="s">
        <v>5830</v>
      </c>
      <c r="R1344" s="19" t="s">
        <v>5831</v>
      </c>
      <c r="S1344" s="11"/>
      <c r="T1344" s="11"/>
      <c r="U1344" s="10" t="str">
        <f>HYPERLINK("https://pbs.twimg.com/profile_images/632126094024540160/XctZLLcz.jpg","View")</f>
        <v>View</v>
      </c>
    </row>
    <row r="1345" spans="1:21" ht="30.6">
      <c r="A1345" s="6">
        <v>43441.567812499998</v>
      </c>
      <c r="B1345" s="7" t="str">
        <f>HYPERLINK("https://twitter.com/ChezNieto","@ChezNieto")</f>
        <v>@ChezNieto</v>
      </c>
      <c r="C1345" s="8" t="s">
        <v>1793</v>
      </c>
      <c r="D1345" s="9" t="s">
        <v>5832</v>
      </c>
      <c r="E1345" s="10" t="str">
        <f>HYPERLINK("https://twitter.com/ChezNieto/status/1071020914626703361","1071020914626703361")</f>
        <v>1071020914626703361</v>
      </c>
      <c r="F1345" s="11"/>
      <c r="G1345" s="11"/>
      <c r="H1345" s="11"/>
      <c r="I1345" s="13">
        <v>0</v>
      </c>
      <c r="J1345" s="13">
        <v>0</v>
      </c>
      <c r="K1345" s="14" t="str">
        <f t="shared" si="236"/>
        <v>Twitter Web Client</v>
      </c>
      <c r="L1345" s="13">
        <v>5087</v>
      </c>
      <c r="M1345" s="13">
        <v>4782</v>
      </c>
      <c r="N1345" s="13">
        <v>50</v>
      </c>
      <c r="O1345" s="15"/>
      <c r="P1345" s="6">
        <v>41341.600729166668</v>
      </c>
      <c r="Q1345" s="18" t="s">
        <v>42</v>
      </c>
      <c r="R1345" s="19" t="s">
        <v>5833</v>
      </c>
      <c r="S1345" s="11"/>
      <c r="T1345" s="11"/>
      <c r="U1345" s="10" t="str">
        <f>HYPERLINK("https://pbs.twimg.com/profile_images/3750051142/df497636f6b21e0abf733a0e65a50087.jpeg","View")</f>
        <v>View</v>
      </c>
    </row>
    <row r="1346" spans="1:21" ht="112.2">
      <c r="A1346" s="6">
        <v>43441.566122685181</v>
      </c>
      <c r="B1346" s="7" t="str">
        <f>HYPERLINK("https://twitter.com/Ana_AnteLaNoche","@Ana_AnteLaNoche")</f>
        <v>@Ana_AnteLaNoche</v>
      </c>
      <c r="C1346" s="8" t="s">
        <v>5834</v>
      </c>
      <c r="D1346" s="9" t="s">
        <v>5835</v>
      </c>
      <c r="E1346" s="10" t="str">
        <f>HYPERLINK("https://twitter.com/Ana_AnteLaNoche/status/1071020303281741825","1071020303281741825")</f>
        <v>1071020303281741825</v>
      </c>
      <c r="F1346" s="18" t="s">
        <v>5836</v>
      </c>
      <c r="G1346" s="11"/>
      <c r="H1346" s="11"/>
      <c r="I1346" s="13">
        <v>1</v>
      </c>
      <c r="J1346" s="13">
        <v>0</v>
      </c>
      <c r="K1346" s="14" t="str">
        <f t="shared" si="236"/>
        <v>Twitter Web Client</v>
      </c>
      <c r="L1346" s="13">
        <v>226</v>
      </c>
      <c r="M1346" s="13">
        <v>532</v>
      </c>
      <c r="N1346" s="13">
        <v>4</v>
      </c>
      <c r="O1346" s="15"/>
      <c r="P1346" s="6">
        <v>40685.043773148151</v>
      </c>
      <c r="Q1346" s="18" t="s">
        <v>5837</v>
      </c>
      <c r="R1346" s="19" t="s">
        <v>5838</v>
      </c>
      <c r="S1346" s="11"/>
      <c r="T1346" s="11"/>
      <c r="U1346" s="10" t="str">
        <f>HYPERLINK("https://pbs.twimg.com/profile_images/691505818345283584/Kafz5diB.jpg","View")</f>
        <v>View</v>
      </c>
    </row>
    <row r="1347" spans="1:21" ht="51">
      <c r="A1347" s="6">
        <v>43441.565902777773</v>
      </c>
      <c r="B1347" s="7" t="str">
        <f>HYPERLINK("https://twitter.com/PdeSamos","@PdeSamos")</f>
        <v>@PdeSamos</v>
      </c>
      <c r="C1347" s="8" t="s">
        <v>1432</v>
      </c>
      <c r="D1347" s="9" t="s">
        <v>5839</v>
      </c>
      <c r="E1347" s="10" t="str">
        <f>HYPERLINK("https://twitter.com/PdeSamos/status/1071020222231048193","1071020222231048193")</f>
        <v>1071020222231048193</v>
      </c>
      <c r="F1347" s="12" t="s">
        <v>40</v>
      </c>
      <c r="G1347" s="11"/>
      <c r="H1347" s="11"/>
      <c r="I1347" s="13">
        <v>0</v>
      </c>
      <c r="J1347" s="13">
        <v>0</v>
      </c>
      <c r="K1347" s="14" t="str">
        <f>HYPERLINK("http://republico.ddns.net","App Libertad PdeSamos")</f>
        <v>App Libertad PdeSamos</v>
      </c>
      <c r="L1347" s="13">
        <v>5398</v>
      </c>
      <c r="M1347" s="13">
        <v>5441</v>
      </c>
      <c r="N1347" s="13">
        <v>12</v>
      </c>
      <c r="O1347" s="15"/>
      <c r="P1347" s="6">
        <v>42889.820567129631</v>
      </c>
      <c r="Q1347" s="18" t="s">
        <v>1336</v>
      </c>
      <c r="R1347" s="19" t="s">
        <v>1438</v>
      </c>
      <c r="S1347" s="11"/>
      <c r="T1347" s="11"/>
      <c r="U1347" s="10" t="str">
        <f>HYPERLINK("https://pbs.twimg.com/profile_images/871063742003511296/xK2IYbrO.jpg","View")</f>
        <v>View</v>
      </c>
    </row>
    <row r="1348" spans="1:21" ht="40.799999999999997">
      <c r="A1348" s="6">
        <v>43441.565393518518</v>
      </c>
      <c r="B1348" s="7" t="str">
        <f>HYPERLINK("https://twitter.com/Zibelinam","@Zibelinam")</f>
        <v>@Zibelinam</v>
      </c>
      <c r="C1348" s="8" t="s">
        <v>5840</v>
      </c>
      <c r="D1348" s="9" t="s">
        <v>5841</v>
      </c>
      <c r="E1348" s="10" t="str">
        <f>HYPERLINK("https://twitter.com/Zibelinam/status/1071020037761368064","1071020037761368064")</f>
        <v>1071020037761368064</v>
      </c>
      <c r="F1348" s="12" t="s">
        <v>5842</v>
      </c>
      <c r="G1348" s="11"/>
      <c r="H1348" s="11"/>
      <c r="I1348" s="13">
        <v>0</v>
      </c>
      <c r="J1348" s="13">
        <v>0</v>
      </c>
      <c r="K1348" s="14" t="str">
        <f>HYPERLINK("http://twitter.com/download/iphone","Twitter for iPhone")</f>
        <v>Twitter for iPhone</v>
      </c>
      <c r="L1348" s="13">
        <v>4133</v>
      </c>
      <c r="M1348" s="13">
        <v>4055</v>
      </c>
      <c r="N1348" s="13">
        <v>20</v>
      </c>
      <c r="O1348" s="15"/>
      <c r="P1348" s="6">
        <v>41405.65353009259</v>
      </c>
      <c r="Q1348" s="18" t="s">
        <v>5843</v>
      </c>
      <c r="R1348" s="19" t="s">
        <v>5844</v>
      </c>
      <c r="S1348" s="11"/>
      <c r="T1348" s="11"/>
      <c r="U1348" s="10" t="str">
        <f>HYPERLINK("https://pbs.twimg.com/profile_images/929426502416027649/07tvgMQf.jpg","View")</f>
        <v>View</v>
      </c>
    </row>
    <row r="1349" spans="1:21" ht="30.6">
      <c r="A1349" s="6">
        <v>43441.565138888887</v>
      </c>
      <c r="B1349" s="7" t="str">
        <f>HYPERLINK("https://twitter.com/ElAngelFacha","@ElAngelFacha")</f>
        <v>@ElAngelFacha</v>
      </c>
      <c r="C1349" s="8" t="s">
        <v>1970</v>
      </c>
      <c r="D1349" s="9" t="s">
        <v>5845</v>
      </c>
      <c r="E1349" s="10" t="str">
        <f>HYPERLINK("https://twitter.com/ElAngelFacha/status/1071019946786861056","1071019946786861056")</f>
        <v>1071019946786861056</v>
      </c>
      <c r="F1349" s="12" t="s">
        <v>5846</v>
      </c>
      <c r="G1349" s="11"/>
      <c r="H1349" s="11"/>
      <c r="I1349" s="13">
        <v>19</v>
      </c>
      <c r="J1349" s="13">
        <v>14</v>
      </c>
      <c r="K1349" s="14" t="str">
        <f>HYPERLINK("http://twitter.com","Twitter Web Client")</f>
        <v>Twitter Web Client</v>
      </c>
      <c r="L1349" s="13">
        <v>1472</v>
      </c>
      <c r="M1349" s="13">
        <v>2059</v>
      </c>
      <c r="N1349" s="13">
        <v>4</v>
      </c>
      <c r="O1349" s="15"/>
      <c r="P1349" s="6">
        <v>42923.928784722222</v>
      </c>
      <c r="Q1349" s="18" t="s">
        <v>1973</v>
      </c>
      <c r="R1349" s="19" t="s">
        <v>1974</v>
      </c>
      <c r="S1349" s="11"/>
      <c r="T1349" s="11"/>
      <c r="U1349" s="10" t="str">
        <f>HYPERLINK("https://pbs.twimg.com/profile_images/1068670609935208450/c84QvuV4.jpg","View")</f>
        <v>View</v>
      </c>
    </row>
    <row r="1350" spans="1:21" ht="51">
      <c r="A1350" s="6">
        <v>43441.564976851849</v>
      </c>
      <c r="B1350" s="7" t="str">
        <f>HYPERLINK("https://twitter.com/yonohesido45","@yonohesido45")</f>
        <v>@yonohesido45</v>
      </c>
      <c r="C1350" s="8" t="s">
        <v>1310</v>
      </c>
      <c r="D1350" s="9" t="s">
        <v>2722</v>
      </c>
      <c r="E1350" s="10" t="str">
        <f>HYPERLINK("https://twitter.com/yonohesido45/status/1071019886099554304","1071019886099554304")</f>
        <v>1071019886099554304</v>
      </c>
      <c r="F1350" s="11"/>
      <c r="G1350" s="11"/>
      <c r="H1350" s="11"/>
      <c r="I1350" s="13">
        <v>0</v>
      </c>
      <c r="J1350" s="13">
        <v>0</v>
      </c>
      <c r="K1350" s="14" t="str">
        <f>HYPERLINK("http://twitter.com/download/android","Twitter for Android")</f>
        <v>Twitter for Android</v>
      </c>
      <c r="L1350" s="13">
        <v>67</v>
      </c>
      <c r="M1350" s="13">
        <v>72</v>
      </c>
      <c r="N1350" s="13">
        <v>0</v>
      </c>
      <c r="O1350" s="15"/>
      <c r="P1350" s="6">
        <v>41213.673148148147</v>
      </c>
      <c r="Q1350" s="11"/>
      <c r="R1350" s="19" t="s">
        <v>1314</v>
      </c>
      <c r="S1350" s="11"/>
      <c r="T1350" s="11"/>
      <c r="U1350" s="10" t="str">
        <f>HYPERLINK("https://pbs.twimg.com/profile_images/1067865279231860737/Cjkgi0xB.jpg","View")</f>
        <v>View</v>
      </c>
    </row>
    <row r="1351" spans="1:21" ht="61.2">
      <c r="A1351" s="6">
        <v>43441.564965277779</v>
      </c>
      <c r="B1351" s="7" t="str">
        <f>HYPERLINK("https://twitter.com/Ccarrillojr","@Ccarrillojr")</f>
        <v>@Ccarrillojr</v>
      </c>
      <c r="C1351" s="8" t="s">
        <v>5847</v>
      </c>
      <c r="D1351" s="9" t="s">
        <v>5848</v>
      </c>
      <c r="E1351" s="10" t="str">
        <f>HYPERLINK("https://twitter.com/Ccarrillojr/status/1071019883947835394","1071019883947835394")</f>
        <v>1071019883947835394</v>
      </c>
      <c r="F1351" s="12" t="s">
        <v>5849</v>
      </c>
      <c r="G1351" s="12" t="s">
        <v>5850</v>
      </c>
      <c r="H1351" s="11"/>
      <c r="I1351" s="13">
        <v>0</v>
      </c>
      <c r="J1351" s="13">
        <v>0</v>
      </c>
      <c r="K1351" s="14" t="str">
        <f t="shared" ref="K1351:K1352" si="237">HYPERLINK("http://twitter.com","Twitter Web Client")</f>
        <v>Twitter Web Client</v>
      </c>
      <c r="L1351" s="13">
        <v>455</v>
      </c>
      <c r="M1351" s="13">
        <v>1378</v>
      </c>
      <c r="N1351" s="13">
        <v>1</v>
      </c>
      <c r="O1351" s="15"/>
      <c r="P1351" s="6">
        <v>40643.362025462964</v>
      </c>
      <c r="Q1351" s="18" t="s">
        <v>5851</v>
      </c>
      <c r="R1351" s="19" t="s">
        <v>5852</v>
      </c>
      <c r="S1351" s="11"/>
      <c r="T1351" s="11"/>
      <c r="U1351" s="10" t="str">
        <f>HYPERLINK("https://pbs.twimg.com/profile_images/1307664921/image.jpg","View")</f>
        <v>View</v>
      </c>
    </row>
    <row r="1352" spans="1:21" ht="20.399999999999999">
      <c r="A1352" s="6">
        <v>43441.564201388886</v>
      </c>
      <c r="B1352" s="7" t="str">
        <f>HYPERLINK("https://twitter.com/HenryUnomas","@HenryUnomas")</f>
        <v>@HenryUnomas</v>
      </c>
      <c r="C1352" s="8" t="s">
        <v>210</v>
      </c>
      <c r="D1352" s="9" t="s">
        <v>5853</v>
      </c>
      <c r="E1352" s="10" t="str">
        <f>HYPERLINK("https://twitter.com/HenryUnomas/status/1071019605664124930","1071019605664124930")</f>
        <v>1071019605664124930</v>
      </c>
      <c r="F1352" s="11"/>
      <c r="G1352" s="11"/>
      <c r="H1352" s="11"/>
      <c r="I1352" s="13">
        <v>0</v>
      </c>
      <c r="J1352" s="13">
        <v>0</v>
      </c>
      <c r="K1352" s="14" t="str">
        <f t="shared" si="237"/>
        <v>Twitter Web Client</v>
      </c>
      <c r="L1352" s="13">
        <v>2</v>
      </c>
      <c r="M1352" s="13">
        <v>0</v>
      </c>
      <c r="N1352" s="13">
        <v>0</v>
      </c>
      <c r="O1352" s="15"/>
      <c r="P1352" s="6">
        <v>43011.381655092591</v>
      </c>
      <c r="Q1352" s="11"/>
      <c r="R1352" s="17"/>
      <c r="S1352" s="11"/>
      <c r="T1352" s="11"/>
      <c r="U1352" s="16" t="s">
        <v>191</v>
      </c>
    </row>
    <row r="1353" spans="1:21" ht="40.799999999999997">
      <c r="A1353" s="6">
        <v>43441.56413194444</v>
      </c>
      <c r="B1353" s="7" t="str">
        <f>HYPERLINK("https://twitter.com/Zibelinam","@Zibelinam")</f>
        <v>@Zibelinam</v>
      </c>
      <c r="C1353" s="8" t="s">
        <v>5840</v>
      </c>
      <c r="D1353" s="9" t="s">
        <v>3314</v>
      </c>
      <c r="E1353" s="10" t="str">
        <f>HYPERLINK("https://twitter.com/Zibelinam/status/1071019581563699203","1071019581563699203")</f>
        <v>1071019581563699203</v>
      </c>
      <c r="F1353" s="12" t="s">
        <v>5854</v>
      </c>
      <c r="G1353" s="11"/>
      <c r="H1353" s="11"/>
      <c r="I1353" s="13">
        <v>1</v>
      </c>
      <c r="J1353" s="13">
        <v>2</v>
      </c>
      <c r="K1353" s="14" t="str">
        <f>HYPERLINK("http://twitter.com/download/iphone","Twitter for iPhone")</f>
        <v>Twitter for iPhone</v>
      </c>
      <c r="L1353" s="13">
        <v>4133</v>
      </c>
      <c r="M1353" s="13">
        <v>4055</v>
      </c>
      <c r="N1353" s="13">
        <v>20</v>
      </c>
      <c r="O1353" s="15"/>
      <c r="P1353" s="6">
        <v>41405.65353009259</v>
      </c>
      <c r="Q1353" s="18" t="s">
        <v>5843</v>
      </c>
      <c r="R1353" s="19" t="s">
        <v>5844</v>
      </c>
      <c r="S1353" s="11"/>
      <c r="T1353" s="11"/>
      <c r="U1353" s="10" t="str">
        <f>HYPERLINK("https://pbs.twimg.com/profile_images/929426502416027649/07tvgMQf.jpg","View")</f>
        <v>View</v>
      </c>
    </row>
    <row r="1354" spans="1:21" ht="81.599999999999994">
      <c r="A1354" s="6">
        <v>43441.562847222223</v>
      </c>
      <c r="B1354" s="7" t="str">
        <f>HYPERLINK("https://twitter.com/OrbitaEduardo","@OrbitaEduardo")</f>
        <v>@OrbitaEduardo</v>
      </c>
      <c r="C1354" s="8" t="s">
        <v>930</v>
      </c>
      <c r="D1354" s="9" t="s">
        <v>5855</v>
      </c>
      <c r="E1354" s="10" t="str">
        <f>HYPERLINK("https://twitter.com/OrbitaEduardo/status/1071019114125242368","1071019114125242368")</f>
        <v>1071019114125242368</v>
      </c>
      <c r="F1354" s="12" t="s">
        <v>5856</v>
      </c>
      <c r="G1354" s="11"/>
      <c r="H1354" s="11"/>
      <c r="I1354" s="13">
        <v>28</v>
      </c>
      <c r="J1354" s="13">
        <v>32</v>
      </c>
      <c r="K1354" s="14" t="str">
        <f>HYPERLINK("http://twitter.com/download/android","Twitter for Android")</f>
        <v>Twitter for Android</v>
      </c>
      <c r="L1354" s="13">
        <v>4523</v>
      </c>
      <c r="M1354" s="13">
        <v>4948</v>
      </c>
      <c r="N1354" s="13">
        <v>13</v>
      </c>
      <c r="O1354" s="15"/>
      <c r="P1354" s="6">
        <v>43110.374305555553</v>
      </c>
      <c r="Q1354" s="18" t="s">
        <v>260</v>
      </c>
      <c r="R1354" s="19" t="s">
        <v>935</v>
      </c>
      <c r="S1354" s="11"/>
      <c r="T1354" s="11"/>
      <c r="U1354" s="10" t="str">
        <f>HYPERLINK("https://pbs.twimg.com/profile_images/1034013666600001538/MmqVJqFc.jpg","View")</f>
        <v>View</v>
      </c>
    </row>
    <row r="1355" spans="1:21" ht="51">
      <c r="A1355" s="6">
        <v>43441.562581018516</v>
      </c>
      <c r="B1355" s="7" t="str">
        <f>HYPERLINK("https://twitter.com/HenryUnomas","@HenryUnomas")</f>
        <v>@HenryUnomas</v>
      </c>
      <c r="C1355" s="8" t="s">
        <v>210</v>
      </c>
      <c r="D1355" s="9" t="s">
        <v>2725</v>
      </c>
      <c r="E1355" s="10" t="str">
        <f>HYPERLINK("https://twitter.com/HenryUnomas/status/1071019021150105600","1071019021150105600")</f>
        <v>1071019021150105600</v>
      </c>
      <c r="F1355" s="11"/>
      <c r="G1355" s="11"/>
      <c r="H1355" s="11"/>
      <c r="I1355" s="13">
        <v>0</v>
      </c>
      <c r="J1355" s="13">
        <v>0</v>
      </c>
      <c r="K1355" s="14" t="str">
        <f>HYPERLINK("http://twitter.com","Twitter Web Client")</f>
        <v>Twitter Web Client</v>
      </c>
      <c r="L1355" s="13">
        <v>2</v>
      </c>
      <c r="M1355" s="13">
        <v>0</v>
      </c>
      <c r="N1355" s="13">
        <v>0</v>
      </c>
      <c r="O1355" s="15"/>
      <c r="P1355" s="6">
        <v>43011.381655092591</v>
      </c>
      <c r="Q1355" s="11"/>
      <c r="R1355" s="17"/>
      <c r="S1355" s="11"/>
      <c r="T1355" s="11"/>
      <c r="U1355" s="16" t="s">
        <v>191</v>
      </c>
    </row>
    <row r="1356" spans="1:21" ht="40.799999999999997">
      <c r="A1356" s="6">
        <v>43441.562025462961</v>
      </c>
      <c r="B1356" s="7" t="str">
        <f>HYPERLINK("https://twitter.com/euroescoba","@euroescoba")</f>
        <v>@euroescoba</v>
      </c>
      <c r="C1356" s="8" t="s">
        <v>1553</v>
      </c>
      <c r="D1356" s="9" t="s">
        <v>2728</v>
      </c>
      <c r="E1356" s="10" t="str">
        <f>HYPERLINK("https://twitter.com/euroescoba/status/1071018819789955072","1071018819789955072")</f>
        <v>1071018819789955072</v>
      </c>
      <c r="F1356" s="12" t="s">
        <v>2729</v>
      </c>
      <c r="G1356" s="12" t="s">
        <v>2731</v>
      </c>
      <c r="H1356" s="11"/>
      <c r="I1356" s="13">
        <v>0</v>
      </c>
      <c r="J1356" s="13">
        <v>0</v>
      </c>
      <c r="K1356" s="14" t="str">
        <f t="shared" ref="K1356:K1357" si="238">HYPERLINK("http://twitter.com/download/iphone","Twitter for iPhone")</f>
        <v>Twitter for iPhone</v>
      </c>
      <c r="L1356" s="13">
        <v>253</v>
      </c>
      <c r="M1356" s="13">
        <v>654</v>
      </c>
      <c r="N1356" s="13">
        <v>0</v>
      </c>
      <c r="O1356" s="15"/>
      <c r="P1356" s="6">
        <v>43359.871423611112</v>
      </c>
      <c r="Q1356" s="18" t="s">
        <v>42</v>
      </c>
      <c r="R1356" s="17"/>
      <c r="S1356" s="11"/>
      <c r="T1356" s="11"/>
      <c r="U1356" s="10" t="str">
        <f>HYPERLINK("https://pbs.twimg.com/profile_images/1041401488071962625/h0f4uHG9.jpg","View")</f>
        <v>View</v>
      </c>
    </row>
    <row r="1357" spans="1:21" ht="51">
      <c r="A1357" s="6">
        <v>43441.561979166669</v>
      </c>
      <c r="B1357" s="7" t="str">
        <f>HYPERLINK("https://twitter.com/pepe20161952","@pepe20161952")</f>
        <v>@pepe20161952</v>
      </c>
      <c r="C1357" s="8" t="s">
        <v>5857</v>
      </c>
      <c r="D1357" s="9" t="s">
        <v>5858</v>
      </c>
      <c r="E1357" s="10" t="str">
        <f>HYPERLINK("https://twitter.com/pepe20161952/status/1071018802031329280","1071018802031329280")</f>
        <v>1071018802031329280</v>
      </c>
      <c r="F1357" s="12" t="s">
        <v>5096</v>
      </c>
      <c r="G1357" s="12" t="s">
        <v>2585</v>
      </c>
      <c r="H1357" s="11"/>
      <c r="I1357" s="13">
        <v>0</v>
      </c>
      <c r="J1357" s="13">
        <v>1</v>
      </c>
      <c r="K1357" s="14" t="str">
        <f t="shared" si="238"/>
        <v>Twitter for iPhone</v>
      </c>
      <c r="L1357" s="13">
        <v>91</v>
      </c>
      <c r="M1357" s="13">
        <v>139</v>
      </c>
      <c r="N1357" s="13">
        <v>1</v>
      </c>
      <c r="O1357" s="15"/>
      <c r="P1357" s="6">
        <v>42545.995243055557</v>
      </c>
      <c r="Q1357" s="11"/>
      <c r="R1357" s="17"/>
      <c r="S1357" s="11"/>
      <c r="T1357" s="11"/>
      <c r="U1357" s="10" t="str">
        <f>HYPERLINK("https://pbs.twimg.com/profile_images/1042526225581973505/T-ZFz-WQ.jpg","View")</f>
        <v>View</v>
      </c>
    </row>
    <row r="1358" spans="1:21" ht="51">
      <c r="A1358" s="6">
        <v>43441.561956018515</v>
      </c>
      <c r="B1358" s="7" t="str">
        <f>HYPERLINK("https://twitter.com/JuanVelascoJuve","@JuanVelascoJuve")</f>
        <v>@JuanVelascoJuve</v>
      </c>
      <c r="C1358" s="8" t="s">
        <v>5120</v>
      </c>
      <c r="D1358" s="9" t="s">
        <v>5859</v>
      </c>
      <c r="E1358" s="10" t="str">
        <f>HYPERLINK("https://twitter.com/JuanVelascoJuve/status/1071018794221518849","1071018794221518849")</f>
        <v>1071018794221518849</v>
      </c>
      <c r="F1358" s="11"/>
      <c r="G1358" s="11"/>
      <c r="H1358" s="11"/>
      <c r="I1358" s="13">
        <v>0</v>
      </c>
      <c r="J1358" s="13">
        <v>0</v>
      </c>
      <c r="K1358" s="14" t="str">
        <f>HYPERLINK("http://twitter.com","Twitter Web Client")</f>
        <v>Twitter Web Client</v>
      </c>
      <c r="L1358" s="13">
        <v>457</v>
      </c>
      <c r="M1358" s="13">
        <v>3559</v>
      </c>
      <c r="N1358" s="13">
        <v>2</v>
      </c>
      <c r="O1358" s="15"/>
      <c r="P1358" s="6">
        <v>40819.729409722218</v>
      </c>
      <c r="Q1358" s="18" t="s">
        <v>5122</v>
      </c>
      <c r="R1358" s="19" t="s">
        <v>5123</v>
      </c>
      <c r="S1358" s="11"/>
      <c r="T1358" s="11"/>
      <c r="U1358" s="10" t="str">
        <f>HYPERLINK("https://pbs.twimg.com/profile_images/468355677912461312/HUKWk7Vd.jpeg","View")</f>
        <v>View</v>
      </c>
    </row>
    <row r="1359" spans="1:21" ht="51">
      <c r="A1359" s="6">
        <v>43441.561921296292</v>
      </c>
      <c r="B1359" s="7" t="str">
        <f>HYPERLINK("https://twitter.com/Soviet_Habanero","@Soviet_Habanero")</f>
        <v>@Soviet_Habanero</v>
      </c>
      <c r="C1359" s="8" t="s">
        <v>5860</v>
      </c>
      <c r="D1359" s="9" t="s">
        <v>5861</v>
      </c>
      <c r="E1359" s="10" t="str">
        <f>HYPERLINK("https://twitter.com/Soviet_Habanero/status/1071018779650465792","1071018779650465792")</f>
        <v>1071018779650465792</v>
      </c>
      <c r="F1359" s="11"/>
      <c r="G1359" s="11"/>
      <c r="H1359" s="11"/>
      <c r="I1359" s="13">
        <v>3</v>
      </c>
      <c r="J1359" s="13">
        <v>2</v>
      </c>
      <c r="K1359" s="14" t="str">
        <f>HYPERLINK("http://twitter.com/download/android","Twitter for Android")</f>
        <v>Twitter for Android</v>
      </c>
      <c r="L1359" s="13">
        <v>1537</v>
      </c>
      <c r="M1359" s="13">
        <v>1502</v>
      </c>
      <c r="N1359" s="13">
        <v>26</v>
      </c>
      <c r="O1359" s="15"/>
      <c r="P1359" s="6">
        <v>41380.870567129634</v>
      </c>
      <c r="Q1359" s="18" t="s">
        <v>5862</v>
      </c>
      <c r="R1359" s="19" t="s">
        <v>5863</v>
      </c>
      <c r="S1359" s="11"/>
      <c r="T1359" s="11"/>
      <c r="U1359" s="10" t="str">
        <f>HYPERLINK("https://pbs.twimg.com/profile_images/1048709967220543488/eILRBkK_.jpg","View")</f>
        <v>View</v>
      </c>
    </row>
    <row r="1360" spans="1:21" ht="20.399999999999999">
      <c r="A1360" s="6">
        <v>43441.561874999999</v>
      </c>
      <c r="B1360" s="7" t="str">
        <f>HYPERLINK("https://twitter.com/pastor_plaza","@pastor_plaza")</f>
        <v>@pastor_plaza</v>
      </c>
      <c r="C1360" s="8" t="s">
        <v>5864</v>
      </c>
      <c r="D1360" s="9" t="s">
        <v>163</v>
      </c>
      <c r="E1360" s="10" t="str">
        <f>HYPERLINK("https://twitter.com/pastor_plaza/status/1071018765368856577","1071018765368856577")</f>
        <v>1071018765368856577</v>
      </c>
      <c r="F1360" s="12" t="s">
        <v>166</v>
      </c>
      <c r="G1360" s="11"/>
      <c r="H1360" s="11"/>
      <c r="I1360" s="13">
        <v>0</v>
      </c>
      <c r="J1360" s="13">
        <v>0</v>
      </c>
      <c r="K1360" s="14" t="str">
        <f>HYPERLINK("http://twitter.com","Twitter Web Client")</f>
        <v>Twitter Web Client</v>
      </c>
      <c r="L1360" s="13">
        <v>0</v>
      </c>
      <c r="M1360" s="13">
        <v>4</v>
      </c>
      <c r="N1360" s="13">
        <v>0</v>
      </c>
      <c r="O1360" s="15"/>
      <c r="P1360" s="6">
        <v>43220.505682870367</v>
      </c>
      <c r="Q1360" s="11"/>
      <c r="R1360" s="17"/>
      <c r="S1360" s="11"/>
      <c r="T1360" s="11"/>
      <c r="U1360" s="16" t="s">
        <v>191</v>
      </c>
    </row>
    <row r="1361" spans="1:21" ht="51">
      <c r="A1361" s="6">
        <v>43441.560555555552</v>
      </c>
      <c r="B1361" s="7" t="str">
        <f>HYPERLINK("https://twitter.com/PBMarbeMalaga","@PBMarbeMalaga")</f>
        <v>@PBMarbeMalaga</v>
      </c>
      <c r="C1361" s="8" t="s">
        <v>1635</v>
      </c>
      <c r="D1361" s="9" t="s">
        <v>5865</v>
      </c>
      <c r="E1361" s="10" t="str">
        <f>HYPERLINK("https://twitter.com/PBMarbeMalaga/status/1071018283577548802","1071018283577548802")</f>
        <v>1071018283577548802</v>
      </c>
      <c r="F1361" s="12" t="s">
        <v>40</v>
      </c>
      <c r="G1361" s="11"/>
      <c r="H1361" s="11"/>
      <c r="I1361" s="13">
        <v>0</v>
      </c>
      <c r="J1361" s="13">
        <v>0</v>
      </c>
      <c r="K1361" s="14" t="str">
        <f>HYPERLINK("https://javitang.ddns.net","PBMarbeMalaga")</f>
        <v>PBMarbeMalaga</v>
      </c>
      <c r="L1361" s="13">
        <v>1316</v>
      </c>
      <c r="M1361" s="13">
        <v>1358</v>
      </c>
      <c r="N1361" s="13">
        <v>2</v>
      </c>
      <c r="O1361" s="15"/>
      <c r="P1361" s="6">
        <v>43149.814074074078</v>
      </c>
      <c r="Q1361" s="18" t="s">
        <v>1637</v>
      </c>
      <c r="R1361" s="19" t="s">
        <v>1638</v>
      </c>
      <c r="S1361" s="11"/>
      <c r="T1361" s="11"/>
      <c r="U1361" s="10" t="str">
        <f>HYPERLINK("https://pbs.twimg.com/profile_images/965296691145531392/sAFnfUu2.jpg","View")</f>
        <v>View</v>
      </c>
    </row>
    <row r="1362" spans="1:21" ht="20.399999999999999">
      <c r="A1362" s="6">
        <v>43441.559027777781</v>
      </c>
      <c r="B1362" s="7" t="str">
        <f>HYPERLINK("https://twitter.com/VictoriAndres1","@VictoriAndres1")</f>
        <v>@VictoriAndres1</v>
      </c>
      <c r="C1362" s="8" t="s">
        <v>1318</v>
      </c>
      <c r="D1362" s="9" t="s">
        <v>5866</v>
      </c>
      <c r="E1362" s="10" t="str">
        <f>HYPERLINK("https://twitter.com/VictoriAndres1/status/1071017730889969665","1071017730889969665")</f>
        <v>1071017730889969665</v>
      </c>
      <c r="F1362" s="12" t="s">
        <v>5867</v>
      </c>
      <c r="G1362" s="11"/>
      <c r="H1362" s="11"/>
      <c r="I1362" s="13">
        <v>0</v>
      </c>
      <c r="J1362" s="13">
        <v>0</v>
      </c>
      <c r="K1362" s="14" t="str">
        <f>HYPERLINK("http://www.facebook.com/twitter","Facebook")</f>
        <v>Facebook</v>
      </c>
      <c r="L1362" s="13">
        <v>202</v>
      </c>
      <c r="M1362" s="13">
        <v>294</v>
      </c>
      <c r="N1362" s="13">
        <v>1</v>
      </c>
      <c r="O1362" s="15"/>
      <c r="P1362" s="6">
        <v>40992.421249999999</v>
      </c>
      <c r="Q1362" s="18" t="s">
        <v>307</v>
      </c>
      <c r="R1362" s="19" t="s">
        <v>1321</v>
      </c>
      <c r="S1362" s="12" t="s">
        <v>1322</v>
      </c>
      <c r="T1362" s="11"/>
      <c r="U1362" s="10" t="str">
        <f>HYPERLINK("https://pbs.twimg.com/profile_images/1018850373476454400/___hRpp7.jpg","View")</f>
        <v>View</v>
      </c>
    </row>
    <row r="1363" spans="1:21" ht="51">
      <c r="A1363" s="6">
        <v>43441.558692129634</v>
      </c>
      <c r="B1363" s="7" t="str">
        <f>HYPERLINK("https://twitter.com/RIVAS_Llanera","@RIVAS_Llanera")</f>
        <v>@RIVAS_Llanera</v>
      </c>
      <c r="C1363" s="8" t="s">
        <v>2733</v>
      </c>
      <c r="D1363" s="9" t="s">
        <v>2734</v>
      </c>
      <c r="E1363" s="10" t="str">
        <f>HYPERLINK("https://twitter.com/RIVAS_Llanera/status/1071017610152738817","1071017610152738817")</f>
        <v>1071017610152738817</v>
      </c>
      <c r="F1363" s="11"/>
      <c r="G1363" s="12" t="s">
        <v>735</v>
      </c>
      <c r="H1363" s="11"/>
      <c r="I1363" s="13">
        <v>359</v>
      </c>
      <c r="J1363" s="13">
        <v>402</v>
      </c>
      <c r="K1363" s="14" t="str">
        <f>HYPERLINK("http://twitter.com/download/android","Twitter for Android")</f>
        <v>Twitter for Android</v>
      </c>
      <c r="L1363" s="13">
        <v>2909</v>
      </c>
      <c r="M1363" s="13">
        <v>2195</v>
      </c>
      <c r="N1363" s="13">
        <v>173</v>
      </c>
      <c r="O1363" s="15"/>
      <c r="P1363" s="6">
        <v>42340.7815162037</v>
      </c>
      <c r="Q1363" s="18" t="s">
        <v>2737</v>
      </c>
      <c r="R1363" s="19" t="s">
        <v>2738</v>
      </c>
      <c r="S1363" s="11"/>
      <c r="T1363" s="11"/>
      <c r="U1363" s="10" t="str">
        <f>HYPERLINK("https://pbs.twimg.com/profile_images/909392197409263616/4WboAKrD.jpg","View")</f>
        <v>View</v>
      </c>
    </row>
    <row r="1364" spans="1:21" ht="61.2">
      <c r="A1364" s="6">
        <v>43441.558263888888</v>
      </c>
      <c r="B1364" s="7" t="str">
        <f>HYPERLINK("https://twitter.com/usingneurons","@usingneurons")</f>
        <v>@usingneurons</v>
      </c>
      <c r="C1364" s="8" t="s">
        <v>465</v>
      </c>
      <c r="D1364" s="9" t="s">
        <v>2740</v>
      </c>
      <c r="E1364" s="10" t="str">
        <f>HYPERLINK("https://twitter.com/usingneurons/status/1071017453336100865","1071017453336100865")</f>
        <v>1071017453336100865</v>
      </c>
      <c r="F1364" s="11"/>
      <c r="G1364" s="12" t="s">
        <v>2743</v>
      </c>
      <c r="H1364" s="11"/>
      <c r="I1364" s="13">
        <v>0</v>
      </c>
      <c r="J1364" s="13">
        <v>0</v>
      </c>
      <c r="K1364" s="14" t="str">
        <f>HYPERLINK("http://twitter.com","Twitter Web Client")</f>
        <v>Twitter Web Client</v>
      </c>
      <c r="L1364" s="13">
        <v>927</v>
      </c>
      <c r="M1364" s="13">
        <v>901</v>
      </c>
      <c r="N1364" s="13">
        <v>21</v>
      </c>
      <c r="O1364" s="15"/>
      <c r="P1364" s="6">
        <v>41781.782407407409</v>
      </c>
      <c r="Q1364" s="11"/>
      <c r="R1364" s="19" t="s">
        <v>470</v>
      </c>
      <c r="S1364" s="11"/>
      <c r="T1364" s="11"/>
      <c r="U1364" s="10" t="str">
        <f>HYPERLINK("https://pbs.twimg.com/profile_images/497787841733066752/jnJEf2Rm.jpeg","View")</f>
        <v>View</v>
      </c>
    </row>
    <row r="1365" spans="1:21" ht="20.399999999999999">
      <c r="A1365" s="6">
        <v>43441.558182870373</v>
      </c>
      <c r="B1365" s="7" t="str">
        <f>HYPERLINK("https://twitter.com/victorgalcis","@victorgalcis")</f>
        <v>@victorgalcis</v>
      </c>
      <c r="C1365" s="8" t="s">
        <v>5868</v>
      </c>
      <c r="D1365" s="9" t="s">
        <v>5869</v>
      </c>
      <c r="E1365" s="10" t="str">
        <f>HYPERLINK("https://twitter.com/victorgalcis/status/1071017426249232384","1071017426249232384")</f>
        <v>1071017426249232384</v>
      </c>
      <c r="F1365" s="11"/>
      <c r="G1365" s="11"/>
      <c r="H1365" s="11"/>
      <c r="I1365" s="13">
        <v>0</v>
      </c>
      <c r="J1365" s="13">
        <v>1</v>
      </c>
      <c r="K1365" s="14" t="str">
        <f>HYPERLINK("http://twitter.com/download/android","Twitter for Android")</f>
        <v>Twitter for Android</v>
      </c>
      <c r="L1365" s="13">
        <v>267</v>
      </c>
      <c r="M1365" s="13">
        <v>1535</v>
      </c>
      <c r="N1365" s="13">
        <v>3</v>
      </c>
      <c r="O1365" s="15"/>
      <c r="P1365" s="6">
        <v>41670.959872685184</v>
      </c>
      <c r="Q1365" s="18" t="s">
        <v>42</v>
      </c>
      <c r="R1365" s="17"/>
      <c r="S1365" s="11"/>
      <c r="T1365" s="11"/>
      <c r="U1365" s="10" t="str">
        <f>HYPERLINK("https://pbs.twimg.com/profile_images/1070638728048246784/w2euG1jl.jpg","View")</f>
        <v>View</v>
      </c>
    </row>
    <row r="1366" spans="1:21" ht="40.799999999999997">
      <c r="A1366" s="6">
        <v>43441.555636574078</v>
      </c>
      <c r="B1366" s="7" t="str">
        <f>HYPERLINK("https://twitter.com/juanlulacala","@juanlulacala")</f>
        <v>@juanlulacala</v>
      </c>
      <c r="C1366" s="8" t="s">
        <v>2745</v>
      </c>
      <c r="D1366" s="9" t="s">
        <v>2746</v>
      </c>
      <c r="E1366" s="10" t="str">
        <f>HYPERLINK("https://twitter.com/juanlulacala/status/1071016501854027777","1071016501854027777")</f>
        <v>1071016501854027777</v>
      </c>
      <c r="F1366" s="11"/>
      <c r="G1366" s="11"/>
      <c r="H1366" s="11"/>
      <c r="I1366" s="13">
        <v>0</v>
      </c>
      <c r="J1366" s="13">
        <v>0</v>
      </c>
      <c r="K1366" s="14" t="str">
        <f>HYPERLINK("http://twitter.com/download/iphone","Twitter for iPhone")</f>
        <v>Twitter for iPhone</v>
      </c>
      <c r="L1366" s="13">
        <v>1257</v>
      </c>
      <c r="M1366" s="13">
        <v>1384</v>
      </c>
      <c r="N1366" s="13">
        <v>9</v>
      </c>
      <c r="O1366" s="15"/>
      <c r="P1366" s="6">
        <v>40649.68949074074</v>
      </c>
      <c r="Q1366" s="11"/>
      <c r="R1366" s="19" t="s">
        <v>2747</v>
      </c>
      <c r="S1366" s="11"/>
      <c r="T1366" s="11"/>
      <c r="U1366" s="10" t="str">
        <f>HYPERLINK("https://pbs.twimg.com/profile_images/2260838522/image.jpg","View")</f>
        <v>View</v>
      </c>
    </row>
    <row r="1367" spans="1:21" ht="40.799999999999997">
      <c r="A1367" s="6">
        <v>43441.55400462963</v>
      </c>
      <c r="B1367" s="7" t="str">
        <f>HYPERLINK("https://twitter.com/bienar4030","@bienar4030")</f>
        <v>@bienar4030</v>
      </c>
      <c r="C1367" s="8" t="s">
        <v>5870</v>
      </c>
      <c r="D1367" s="9" t="s">
        <v>879</v>
      </c>
      <c r="E1367" s="10" t="str">
        <f>HYPERLINK("https://twitter.com/bienar4030/status/1071015912298307584","1071015912298307584")</f>
        <v>1071015912298307584</v>
      </c>
      <c r="F1367" s="12" t="s">
        <v>881</v>
      </c>
      <c r="G1367" s="11"/>
      <c r="H1367" s="11"/>
      <c r="I1367" s="13">
        <v>0</v>
      </c>
      <c r="J1367" s="13">
        <v>0</v>
      </c>
      <c r="K1367" s="14" t="str">
        <f>HYPERLINK("http://twitter.com","Twitter Web Client")</f>
        <v>Twitter Web Client</v>
      </c>
      <c r="L1367" s="13">
        <v>1485</v>
      </c>
      <c r="M1367" s="13">
        <v>1482</v>
      </c>
      <c r="N1367" s="13">
        <v>32</v>
      </c>
      <c r="O1367" s="15"/>
      <c r="P1367" s="6">
        <v>41554.843101851853</v>
      </c>
      <c r="Q1367" s="11"/>
      <c r="R1367" s="19" t="s">
        <v>5871</v>
      </c>
      <c r="S1367" s="11"/>
      <c r="T1367" s="11"/>
      <c r="U1367" s="10" t="str">
        <f>HYPERLINK("https://pbs.twimg.com/profile_images/1057601277331492864/erv2nc24.jpg","View")</f>
        <v>View</v>
      </c>
    </row>
    <row r="1368" spans="1:21" ht="40.799999999999997">
      <c r="A1368" s="6">
        <v>43441.553518518514</v>
      </c>
      <c r="B1368" s="7" t="str">
        <f>HYPERLINK("https://twitter.com/BruceWa17249174","@BruceWa17249174")</f>
        <v>@BruceWa17249174</v>
      </c>
      <c r="C1368" s="8" t="s">
        <v>2750</v>
      </c>
      <c r="D1368" s="9" t="s">
        <v>2751</v>
      </c>
      <c r="E1368" s="10" t="str">
        <f>HYPERLINK("https://twitter.com/BruceWa17249174/status/1071015734095044608","1071015734095044608")</f>
        <v>1071015734095044608</v>
      </c>
      <c r="F1368" s="11"/>
      <c r="G1368" s="11"/>
      <c r="H1368" s="11"/>
      <c r="I1368" s="13">
        <v>0</v>
      </c>
      <c r="J1368" s="13">
        <v>2</v>
      </c>
      <c r="K1368" s="14" t="str">
        <f>HYPERLINK("http://twitter.com/download/iphone","Twitter for iPhone")</f>
        <v>Twitter for iPhone</v>
      </c>
      <c r="L1368" s="13">
        <v>6</v>
      </c>
      <c r="M1368" s="13">
        <v>39</v>
      </c>
      <c r="N1368" s="13">
        <v>0</v>
      </c>
      <c r="O1368" s="15"/>
      <c r="P1368" s="6">
        <v>43435.807986111111</v>
      </c>
      <c r="Q1368" s="18" t="s">
        <v>898</v>
      </c>
      <c r="R1368" s="19" t="s">
        <v>2753</v>
      </c>
      <c r="S1368" s="11"/>
      <c r="T1368" s="11"/>
      <c r="U1368" s="10" t="str">
        <f>HYPERLINK("https://pbs.twimg.com/profile_images/1068934201079226368/4x4yDvr5.jpg","View")</f>
        <v>View</v>
      </c>
    </row>
    <row r="1369" spans="1:21" ht="20.399999999999999">
      <c r="A1369" s="6">
        <v>43441.552199074074</v>
      </c>
      <c r="B1369" s="7" t="str">
        <f>HYPERLINK("https://twitter.com/PodemosArteixo","@PodemosArteixo")</f>
        <v>@PodemosArteixo</v>
      </c>
      <c r="C1369" s="8" t="s">
        <v>5872</v>
      </c>
      <c r="D1369" s="9" t="s">
        <v>5873</v>
      </c>
      <c r="E1369" s="10" t="str">
        <f>HYPERLINK("https://twitter.com/PodemosArteixo/status/1071015255667605504","1071015255667605504")</f>
        <v>1071015255667605504</v>
      </c>
      <c r="F1369" s="12" t="s">
        <v>5874</v>
      </c>
      <c r="G1369" s="11"/>
      <c r="H1369" s="11"/>
      <c r="I1369" s="13">
        <v>0</v>
      </c>
      <c r="J1369" s="13">
        <v>0</v>
      </c>
      <c r="K1369" s="14" t="str">
        <f>HYPERLINK("http://www.facebook.com/twitter","Facebook")</f>
        <v>Facebook</v>
      </c>
      <c r="L1369" s="13">
        <v>1969</v>
      </c>
      <c r="M1369" s="13">
        <v>426</v>
      </c>
      <c r="N1369" s="13">
        <v>29</v>
      </c>
      <c r="O1369" s="15"/>
      <c r="P1369" s="6">
        <v>41796.567928240736</v>
      </c>
      <c r="Q1369" s="18" t="s">
        <v>5875</v>
      </c>
      <c r="R1369" s="19" t="s">
        <v>5876</v>
      </c>
      <c r="S1369" s="12" t="s">
        <v>1539</v>
      </c>
      <c r="T1369" s="11"/>
      <c r="U1369" s="10" t="str">
        <f>HYPERLINK("https://pbs.twimg.com/profile_images/934099619939782658/dOoES6Zh.jpg","View")</f>
        <v>View</v>
      </c>
    </row>
    <row r="1370" spans="1:21" ht="20.399999999999999">
      <c r="A1370" s="6">
        <v>43441.550497685181</v>
      </c>
      <c r="B1370" s="7" t="str">
        <f>HYPERLINK("https://twitter.com/JonyJMS","@JonyJMS")</f>
        <v>@JonyJMS</v>
      </c>
      <c r="C1370" s="8" t="s">
        <v>5877</v>
      </c>
      <c r="D1370" s="9" t="s">
        <v>5878</v>
      </c>
      <c r="E1370" s="10" t="str">
        <f>HYPERLINK("https://twitter.com/JonyJMS/status/1071014639176159232","1071014639176159232")</f>
        <v>1071014639176159232</v>
      </c>
      <c r="F1370" s="11"/>
      <c r="G1370" s="11"/>
      <c r="H1370" s="11"/>
      <c r="I1370" s="13">
        <v>3</v>
      </c>
      <c r="J1370" s="13">
        <v>16</v>
      </c>
      <c r="K1370" s="14" t="str">
        <f t="shared" ref="K1370:K1373" si="239">HYPERLINK("http://twitter.com/download/android","Twitter for Android")</f>
        <v>Twitter for Android</v>
      </c>
      <c r="L1370" s="13">
        <v>413</v>
      </c>
      <c r="M1370" s="13">
        <v>300</v>
      </c>
      <c r="N1370" s="13">
        <v>5</v>
      </c>
      <c r="O1370" s="15"/>
      <c r="P1370" s="6">
        <v>40677.448437500003</v>
      </c>
      <c r="Q1370" s="18" t="s">
        <v>5879</v>
      </c>
      <c r="R1370" s="19" t="s">
        <v>5880</v>
      </c>
      <c r="S1370" s="12" t="s">
        <v>5881</v>
      </c>
      <c r="T1370" s="11"/>
      <c r="U1370" s="10" t="str">
        <f>HYPERLINK("https://pbs.twimg.com/profile_images/1045070707321901058/mQOADRAo.jpg","View")</f>
        <v>View</v>
      </c>
    </row>
    <row r="1371" spans="1:21" ht="20.399999999999999">
      <c r="A1371" s="6">
        <v>43441.549525462964</v>
      </c>
      <c r="B1371" s="7" t="str">
        <f>HYPERLINK("https://twitter.com/Mcarmen74387154","@Mcarmen74387154")</f>
        <v>@Mcarmen74387154</v>
      </c>
      <c r="C1371" s="8" t="s">
        <v>5882</v>
      </c>
      <c r="D1371" s="9" t="s">
        <v>5883</v>
      </c>
      <c r="E1371" s="10" t="str">
        <f>HYPERLINK("https://twitter.com/Mcarmen74387154/status/1071014288565903364","1071014288565903364")</f>
        <v>1071014288565903364</v>
      </c>
      <c r="F1371" s="12" t="s">
        <v>166</v>
      </c>
      <c r="G1371" s="11"/>
      <c r="H1371" s="11"/>
      <c r="I1371" s="13">
        <v>0</v>
      </c>
      <c r="J1371" s="13">
        <v>0</v>
      </c>
      <c r="K1371" s="14" t="str">
        <f t="shared" si="239"/>
        <v>Twitter for Android</v>
      </c>
      <c r="L1371" s="13">
        <v>250</v>
      </c>
      <c r="M1371" s="13">
        <v>364</v>
      </c>
      <c r="N1371" s="13">
        <v>2</v>
      </c>
      <c r="O1371" s="15"/>
      <c r="P1371" s="6">
        <v>43083.414965277778</v>
      </c>
      <c r="Q1371" s="11"/>
      <c r="R1371" s="17"/>
      <c r="S1371" s="11"/>
      <c r="T1371" s="11"/>
      <c r="U1371" s="16" t="s">
        <v>191</v>
      </c>
    </row>
    <row r="1372" spans="1:21" ht="40.799999999999997">
      <c r="A1372" s="6">
        <v>43441.549432870372</v>
      </c>
      <c r="B1372" s="7" t="str">
        <f>HYPERLINK("https://twitter.com/Becky130777","@Becky130777")</f>
        <v>@Becky130777</v>
      </c>
      <c r="C1372" s="8" t="s">
        <v>624</v>
      </c>
      <c r="D1372" s="9" t="s">
        <v>2754</v>
      </c>
      <c r="E1372" s="10" t="str">
        <f>HYPERLINK("https://twitter.com/Becky130777/status/1071014254067834882","1071014254067834882")</f>
        <v>1071014254067834882</v>
      </c>
      <c r="F1372" s="12" t="s">
        <v>2755</v>
      </c>
      <c r="G1372" s="12" t="s">
        <v>2756</v>
      </c>
      <c r="H1372" s="11"/>
      <c r="I1372" s="13">
        <v>0</v>
      </c>
      <c r="J1372" s="13">
        <v>0</v>
      </c>
      <c r="K1372" s="14" t="str">
        <f t="shared" si="239"/>
        <v>Twitter for Android</v>
      </c>
      <c r="L1372" s="13">
        <v>134</v>
      </c>
      <c r="M1372" s="13">
        <v>110</v>
      </c>
      <c r="N1372" s="13">
        <v>0</v>
      </c>
      <c r="O1372" s="15"/>
      <c r="P1372" s="6">
        <v>43394.472662037035</v>
      </c>
      <c r="Q1372" s="11"/>
      <c r="R1372" s="19" t="s">
        <v>627</v>
      </c>
      <c r="S1372" s="11"/>
      <c r="T1372" s="11"/>
      <c r="U1372" s="10" t="str">
        <f>HYPERLINK("https://pbs.twimg.com/profile_images/1070801950797692930/wQUx-Zko.jpg","View")</f>
        <v>View</v>
      </c>
    </row>
    <row r="1373" spans="1:21" ht="51">
      <c r="A1373" s="6">
        <v>43441.548807870371</v>
      </c>
      <c r="B1373" s="7" t="str">
        <f>HYPERLINK("https://twitter.com/Emonru","@Emonru")</f>
        <v>@Emonru</v>
      </c>
      <c r="C1373" s="8" t="s">
        <v>2758</v>
      </c>
      <c r="D1373" s="9" t="s">
        <v>2759</v>
      </c>
      <c r="E1373" s="10" t="str">
        <f>HYPERLINK("https://twitter.com/Emonru/status/1071014027898306561","1071014027898306561")</f>
        <v>1071014027898306561</v>
      </c>
      <c r="F1373" s="12" t="s">
        <v>2760</v>
      </c>
      <c r="G1373" s="11"/>
      <c r="H1373" s="11"/>
      <c r="I1373" s="13">
        <v>0</v>
      </c>
      <c r="J1373" s="13">
        <v>0</v>
      </c>
      <c r="K1373" s="14" t="str">
        <f t="shared" si="239"/>
        <v>Twitter for Android</v>
      </c>
      <c r="L1373" s="13">
        <v>86</v>
      </c>
      <c r="M1373" s="13">
        <v>326</v>
      </c>
      <c r="N1373" s="13">
        <v>3</v>
      </c>
      <c r="O1373" s="15"/>
      <c r="P1373" s="6">
        <v>40579.609120370369</v>
      </c>
      <c r="Q1373" s="18" t="s">
        <v>2761</v>
      </c>
      <c r="R1373" s="19" t="s">
        <v>2762</v>
      </c>
      <c r="S1373" s="11"/>
      <c r="T1373" s="11"/>
      <c r="U1373" s="10" t="str">
        <f>HYPERLINK("https://pbs.twimg.com/profile_images/636440060313882624/Wqgbnt_1.jpg","View")</f>
        <v>View</v>
      </c>
    </row>
    <row r="1374" spans="1:21" ht="30.6">
      <c r="A1374" s="6">
        <v>43441.547685185185</v>
      </c>
      <c r="B1374" s="7" t="str">
        <f>HYPERLINK("https://twitter.com/mcargarin13","@mcargarin13")</f>
        <v>@mcargarin13</v>
      </c>
      <c r="C1374" s="8" t="s">
        <v>2448</v>
      </c>
      <c r="D1374" s="9" t="s">
        <v>2763</v>
      </c>
      <c r="E1374" s="10" t="str">
        <f>HYPERLINK("https://twitter.com/mcargarin13/status/1071013622023970816","1071013622023970816")</f>
        <v>1071013622023970816</v>
      </c>
      <c r="F1374" s="18" t="s">
        <v>2764</v>
      </c>
      <c r="G1374" s="11"/>
      <c r="H1374" s="11"/>
      <c r="I1374" s="13">
        <v>0</v>
      </c>
      <c r="J1374" s="13">
        <v>0</v>
      </c>
      <c r="K1374" s="14" t="str">
        <f>HYPERLINK("https://mobile.twitter.com","Twitter Lite")</f>
        <v>Twitter Lite</v>
      </c>
      <c r="L1374" s="13">
        <v>34</v>
      </c>
      <c r="M1374" s="13">
        <v>210</v>
      </c>
      <c r="N1374" s="13">
        <v>0</v>
      </c>
      <c r="O1374" s="15"/>
      <c r="P1374" s="6">
        <v>43436.526886574073</v>
      </c>
      <c r="Q1374" s="11"/>
      <c r="R1374" s="17"/>
      <c r="S1374" s="11"/>
      <c r="T1374" s="11"/>
      <c r="U1374" s="10" t="str">
        <f>HYPERLINK("https://pbs.twimg.com/profile_images/1069373219247964160/dh3Ow5gy.jpg","View")</f>
        <v>View</v>
      </c>
    </row>
    <row r="1375" spans="1:21" ht="61.2">
      <c r="A1375" s="6">
        <v>43441.54751157407</v>
      </c>
      <c r="B1375" s="7" t="str">
        <f>HYPERLINK("https://twitter.com/Becky130777","@Becky130777")</f>
        <v>@Becky130777</v>
      </c>
      <c r="C1375" s="8" t="s">
        <v>624</v>
      </c>
      <c r="D1375" s="9" t="s">
        <v>2765</v>
      </c>
      <c r="E1375" s="10" t="str">
        <f>HYPERLINK("https://twitter.com/Becky130777/status/1071013560392843264","1071013560392843264")</f>
        <v>1071013560392843264</v>
      </c>
      <c r="F1375" s="11"/>
      <c r="G1375" s="11"/>
      <c r="H1375" s="11"/>
      <c r="I1375" s="13">
        <v>0</v>
      </c>
      <c r="J1375" s="13">
        <v>0</v>
      </c>
      <c r="K1375" s="14" t="str">
        <f t="shared" ref="K1375:K1376" si="240">HYPERLINK("http://twitter.com/download/android","Twitter for Android")</f>
        <v>Twitter for Android</v>
      </c>
      <c r="L1375" s="13">
        <v>134</v>
      </c>
      <c r="M1375" s="13">
        <v>110</v>
      </c>
      <c r="N1375" s="13">
        <v>0</v>
      </c>
      <c r="O1375" s="15"/>
      <c r="P1375" s="6">
        <v>43394.472662037035</v>
      </c>
      <c r="Q1375" s="11"/>
      <c r="R1375" s="19" t="s">
        <v>627</v>
      </c>
      <c r="S1375" s="11"/>
      <c r="T1375" s="11"/>
      <c r="U1375" s="10" t="str">
        <f>HYPERLINK("https://pbs.twimg.com/profile_images/1070801950797692930/wQUx-Zko.jpg","View")</f>
        <v>View</v>
      </c>
    </row>
    <row r="1376" spans="1:21" ht="30.6">
      <c r="A1376" s="6">
        <v>43441.54688657407</v>
      </c>
      <c r="B1376" s="7" t="str">
        <f>HYPERLINK("https://twitter.com/AThable","@AThable")</f>
        <v>@AThable</v>
      </c>
      <c r="C1376" s="8" t="s">
        <v>1592</v>
      </c>
      <c r="D1376" s="9" t="s">
        <v>5884</v>
      </c>
      <c r="E1376" s="10" t="str">
        <f>HYPERLINK("https://twitter.com/AThable/status/1071013330767306752","1071013330767306752")</f>
        <v>1071013330767306752</v>
      </c>
      <c r="F1376" s="12" t="s">
        <v>2779</v>
      </c>
      <c r="G1376" s="11"/>
      <c r="H1376" s="11"/>
      <c r="I1376" s="13">
        <v>0</v>
      </c>
      <c r="J1376" s="13">
        <v>0</v>
      </c>
      <c r="K1376" s="14" t="str">
        <f t="shared" si="240"/>
        <v>Twitter for Android</v>
      </c>
      <c r="L1376" s="13">
        <v>135</v>
      </c>
      <c r="M1376" s="13">
        <v>254</v>
      </c>
      <c r="N1376" s="13">
        <v>4</v>
      </c>
      <c r="O1376" s="15"/>
      <c r="P1376" s="6">
        <v>41734.528715277775</v>
      </c>
      <c r="Q1376" s="11"/>
      <c r="R1376" s="17"/>
      <c r="S1376" s="11"/>
      <c r="T1376" s="11"/>
      <c r="U1376" s="10" t="str">
        <f>HYPERLINK("https://pbs.twimg.com/profile_images/452396308738105344/uAoxhinN.jpeg","View")</f>
        <v>View</v>
      </c>
    </row>
    <row r="1377" spans="1:21" ht="20.399999999999999">
      <c r="A1377" s="6">
        <v>43441.546041666668</v>
      </c>
      <c r="B1377" s="7" t="str">
        <f>HYPERLINK("https://twitter.com/albsolrev","@albsolrev")</f>
        <v>@albsolrev</v>
      </c>
      <c r="C1377" s="8" t="s">
        <v>5885</v>
      </c>
      <c r="D1377" s="9" t="s">
        <v>5886</v>
      </c>
      <c r="E1377" s="10" t="str">
        <f>HYPERLINK("https://twitter.com/albsolrev/status/1071013024352403456","1071013024352403456")</f>
        <v>1071013024352403456</v>
      </c>
      <c r="F1377" s="11"/>
      <c r="G1377" s="12" t="s">
        <v>5887</v>
      </c>
      <c r="H1377" s="11"/>
      <c r="I1377" s="13">
        <v>1</v>
      </c>
      <c r="J1377" s="13">
        <v>4</v>
      </c>
      <c r="K1377" s="14" t="str">
        <f>HYPERLINK("http://twitter.com/download/iphone","Twitter for iPhone")</f>
        <v>Twitter for iPhone</v>
      </c>
      <c r="L1377" s="13">
        <v>467</v>
      </c>
      <c r="M1377" s="13">
        <v>505</v>
      </c>
      <c r="N1377" s="13">
        <v>13</v>
      </c>
      <c r="O1377" s="15"/>
      <c r="P1377" s="6">
        <v>40605.534178240741</v>
      </c>
      <c r="Q1377" s="18" t="s">
        <v>1708</v>
      </c>
      <c r="R1377" s="19" t="s">
        <v>5888</v>
      </c>
      <c r="S1377" s="11"/>
      <c r="T1377" s="11"/>
      <c r="U1377" s="10" t="str">
        <f>HYPERLINK("https://pbs.twimg.com/profile_images/3519291282/622b9d04632b4f6255530ab37a6ea87b.jpeg","View")</f>
        <v>View</v>
      </c>
    </row>
    <row r="1378" spans="1:21" ht="40.799999999999997">
      <c r="A1378" s="6">
        <v>43441.545983796299</v>
      </c>
      <c r="B1378" s="7" t="str">
        <f>HYPERLINK("https://twitter.com/Gotthia","@Gotthia")</f>
        <v>@Gotthia</v>
      </c>
      <c r="C1378" s="8" t="s">
        <v>2769</v>
      </c>
      <c r="D1378" s="9" t="s">
        <v>2770</v>
      </c>
      <c r="E1378" s="10" t="str">
        <f>HYPERLINK("https://twitter.com/Gotthia/status/1071013005729644544","1071013005729644544")</f>
        <v>1071013005729644544</v>
      </c>
      <c r="F1378" s="11"/>
      <c r="G1378" s="11"/>
      <c r="H1378" s="11"/>
      <c r="I1378" s="13">
        <v>1</v>
      </c>
      <c r="J1378" s="13">
        <v>1</v>
      </c>
      <c r="K1378" s="14" t="str">
        <f>HYPERLINK("https://mobile.twitter.com","Twitter Lite")</f>
        <v>Twitter Lite</v>
      </c>
      <c r="L1378" s="13">
        <v>1007</v>
      </c>
      <c r="M1378" s="13">
        <v>806</v>
      </c>
      <c r="N1378" s="13">
        <v>10</v>
      </c>
      <c r="O1378" s="15"/>
      <c r="P1378" s="6">
        <v>41429.453969907408</v>
      </c>
      <c r="Q1378" s="11"/>
      <c r="R1378" s="19" t="s">
        <v>2771</v>
      </c>
      <c r="S1378" s="11"/>
      <c r="T1378" s="11"/>
      <c r="U1378" s="10" t="str">
        <f>HYPERLINK("https://pbs.twimg.com/profile_images/648943244009689088/KAMFTg0A.jpg","View")</f>
        <v>View</v>
      </c>
    </row>
    <row r="1379" spans="1:21" ht="40.799999999999997">
      <c r="A1379" s="6">
        <v>43441.545127314814</v>
      </c>
      <c r="B1379" s="7" t="str">
        <f>HYPERLINK("https://twitter.com/Snack_93","@Snack_93")</f>
        <v>@Snack_93</v>
      </c>
      <c r="C1379" s="8" t="s">
        <v>5889</v>
      </c>
      <c r="D1379" s="9" t="s">
        <v>2593</v>
      </c>
      <c r="E1379" s="10" t="str">
        <f>HYPERLINK("https://twitter.com/Snack_93/status/1071012694130606080","1071012694130606080")</f>
        <v>1071012694130606080</v>
      </c>
      <c r="F1379" s="12" t="s">
        <v>2595</v>
      </c>
      <c r="G1379" s="11"/>
      <c r="H1379" s="11"/>
      <c r="I1379" s="13">
        <v>0</v>
      </c>
      <c r="J1379" s="13">
        <v>0</v>
      </c>
      <c r="K1379" s="14" t="str">
        <f t="shared" ref="K1379:K1380" si="241">HYPERLINK("http://twitter.com","Twitter Web Client")</f>
        <v>Twitter Web Client</v>
      </c>
      <c r="L1379" s="13">
        <v>69</v>
      </c>
      <c r="M1379" s="13">
        <v>320</v>
      </c>
      <c r="N1379" s="13">
        <v>1</v>
      </c>
      <c r="O1379" s="15"/>
      <c r="P1379" s="6">
        <v>40470.834039351852</v>
      </c>
      <c r="Q1379" s="18" t="s">
        <v>1325</v>
      </c>
      <c r="R1379" s="19" t="s">
        <v>5890</v>
      </c>
      <c r="S1379" s="11"/>
      <c r="T1379" s="11"/>
      <c r="U1379" s="10" t="str">
        <f>HYPERLINK("https://pbs.twimg.com/profile_images/674627923945652224/BB11HVQe.jpg","View")</f>
        <v>View</v>
      </c>
    </row>
    <row r="1380" spans="1:21" ht="40.799999999999997">
      <c r="A1380" s="6">
        <v>43441.542754629627</v>
      </c>
      <c r="B1380" s="7" t="str">
        <f>HYPERLINK("https://twitter.com/dalsanto22","@dalsanto22")</f>
        <v>@dalsanto22</v>
      </c>
      <c r="C1380" s="8" t="s">
        <v>2772</v>
      </c>
      <c r="D1380" s="9" t="s">
        <v>2773</v>
      </c>
      <c r="E1380" s="10" t="str">
        <f>HYPERLINK("https://twitter.com/dalsanto22/status/1071011836470980610","1071011836470980610")</f>
        <v>1071011836470980610</v>
      </c>
      <c r="F1380" s="11"/>
      <c r="G1380" s="11"/>
      <c r="H1380" s="11"/>
      <c r="I1380" s="13">
        <v>1</v>
      </c>
      <c r="J1380" s="13">
        <v>0</v>
      </c>
      <c r="K1380" s="14" t="str">
        <f t="shared" si="241"/>
        <v>Twitter Web Client</v>
      </c>
      <c r="L1380" s="13">
        <v>898</v>
      </c>
      <c r="M1380" s="13">
        <v>837</v>
      </c>
      <c r="N1380" s="13">
        <v>7</v>
      </c>
      <c r="O1380" s="15"/>
      <c r="P1380" s="6">
        <v>41781.447013888886</v>
      </c>
      <c r="Q1380" s="18" t="s">
        <v>307</v>
      </c>
      <c r="R1380" s="17"/>
      <c r="S1380" s="11"/>
      <c r="T1380" s="11"/>
      <c r="U1380" s="10" t="str">
        <f>HYPERLINK("https://pbs.twimg.com/profile_images/486429688034648064/Tm8XCGeR.png","View")</f>
        <v>View</v>
      </c>
    </row>
    <row r="1381" spans="1:21" ht="40.799999999999997">
      <c r="A1381" s="6">
        <v>43441.542199074072</v>
      </c>
      <c r="B1381" s="7" t="str">
        <f>HYPERLINK("https://twitter.com/xanotolo","@xanotolo")</f>
        <v>@xanotolo</v>
      </c>
      <c r="C1381" s="8" t="s">
        <v>5891</v>
      </c>
      <c r="D1381" s="9" t="s">
        <v>879</v>
      </c>
      <c r="E1381" s="10" t="str">
        <f>HYPERLINK("https://twitter.com/xanotolo/status/1071011633491820544","1071011633491820544")</f>
        <v>1071011633491820544</v>
      </c>
      <c r="F1381" s="12" t="s">
        <v>881</v>
      </c>
      <c r="G1381" s="11"/>
      <c r="H1381" s="11"/>
      <c r="I1381" s="13">
        <v>0</v>
      </c>
      <c r="J1381" s="13">
        <v>1</v>
      </c>
      <c r="K1381" s="14" t="str">
        <f t="shared" ref="K1381:K1382" si="242">HYPERLINK("https://buffer.com","Buffer")</f>
        <v>Buffer</v>
      </c>
      <c r="L1381" s="13">
        <v>3262</v>
      </c>
      <c r="M1381" s="13">
        <v>3712</v>
      </c>
      <c r="N1381" s="13">
        <v>29</v>
      </c>
      <c r="O1381" s="15"/>
      <c r="P1381" s="6">
        <v>42193.393761574072</v>
      </c>
      <c r="Q1381" s="18" t="s">
        <v>5892</v>
      </c>
      <c r="R1381" s="19" t="s">
        <v>5893</v>
      </c>
      <c r="S1381" s="12" t="s">
        <v>5894</v>
      </c>
      <c r="T1381" s="11"/>
      <c r="U1381" s="10" t="str">
        <f>HYPERLINK("https://pbs.twimg.com/profile_images/758117015236251648/HD3sTlMK.jpg","View")</f>
        <v>View</v>
      </c>
    </row>
    <row r="1382" spans="1:21" ht="40.799999999999997">
      <c r="A1382" s="6">
        <v>43441.541921296295</v>
      </c>
      <c r="B1382" s="7" t="str">
        <f>HYPERLINK("https://twitter.com/_Contrainfo","@_Contrainfo")</f>
        <v>@_Contrainfo</v>
      </c>
      <c r="C1382" s="22" t="s">
        <v>5895</v>
      </c>
      <c r="D1382" s="9" t="s">
        <v>5896</v>
      </c>
      <c r="E1382" s="10" t="str">
        <f>HYPERLINK("https://twitter.com/_Contrainfo/status/1071011532635549696","1071011532635549696")</f>
        <v>1071011532635549696</v>
      </c>
      <c r="F1382" s="12" t="s">
        <v>881</v>
      </c>
      <c r="G1382" s="11"/>
      <c r="H1382" s="11"/>
      <c r="I1382" s="13">
        <v>6</v>
      </c>
      <c r="J1382" s="13">
        <v>7</v>
      </c>
      <c r="K1382" s="14" t="str">
        <f t="shared" si="242"/>
        <v>Buffer</v>
      </c>
      <c r="L1382" s="13">
        <v>15352</v>
      </c>
      <c r="M1382" s="13">
        <v>1029</v>
      </c>
      <c r="N1382" s="13">
        <v>161</v>
      </c>
      <c r="O1382" s="15"/>
      <c r="P1382" s="6">
        <v>42577.386944444443</v>
      </c>
      <c r="Q1382" s="18" t="s">
        <v>5897</v>
      </c>
      <c r="R1382" s="19" t="s">
        <v>5898</v>
      </c>
      <c r="S1382" s="12" t="s">
        <v>5894</v>
      </c>
      <c r="T1382" s="11"/>
      <c r="U1382" s="10" t="str">
        <f>HYPERLINK("https://pbs.twimg.com/profile_images/940273743942651904/7k685Ol4.jpg","View")</f>
        <v>View</v>
      </c>
    </row>
    <row r="1383" spans="1:21" ht="30.6">
      <c r="A1383" s="6">
        <v>43441.540763888886</v>
      </c>
      <c r="B1383" s="7" t="str">
        <f>HYPERLINK("https://twitter.com/Luztaquigrafos","@Luztaquigrafos")</f>
        <v>@Luztaquigrafos</v>
      </c>
      <c r="C1383" s="8" t="s">
        <v>2777</v>
      </c>
      <c r="D1383" s="9" t="s">
        <v>2778</v>
      </c>
      <c r="E1383" s="10" t="str">
        <f>HYPERLINK("https://twitter.com/Luztaquigrafos/status/1071011113985294336","1071011113985294336")</f>
        <v>1071011113985294336</v>
      </c>
      <c r="F1383" s="12" t="s">
        <v>2779</v>
      </c>
      <c r="G1383" s="11"/>
      <c r="H1383" s="11"/>
      <c r="I1383" s="13">
        <v>0</v>
      </c>
      <c r="J1383" s="13">
        <v>2</v>
      </c>
      <c r="K1383" s="14" t="str">
        <f>HYPERLINK("http://twitter.com/download/iphone","Twitter for iPhone")</f>
        <v>Twitter for iPhone</v>
      </c>
      <c r="L1383" s="13">
        <v>655</v>
      </c>
      <c r="M1383" s="13">
        <v>949</v>
      </c>
      <c r="N1383" s="13">
        <v>11</v>
      </c>
      <c r="O1383" s="15"/>
      <c r="P1383" s="6">
        <v>40950.819004629629</v>
      </c>
      <c r="Q1383" s="18" t="s">
        <v>42</v>
      </c>
      <c r="R1383" s="19" t="s">
        <v>2780</v>
      </c>
      <c r="S1383" s="11"/>
      <c r="T1383" s="11"/>
      <c r="U1383" s="10" t="str">
        <f>HYPERLINK("https://pbs.twimg.com/profile_images/3677622502/e0d4e294bf9879df2d894d65736d2333.jpeg","View")</f>
        <v>View</v>
      </c>
    </row>
    <row r="1384" spans="1:21" ht="20.399999999999999">
      <c r="A1384" s="6">
        <v>43441.54074074074</v>
      </c>
      <c r="B1384" s="7" t="str">
        <f>HYPERLINK("https://twitter.com/finacapacete","@finacapacete")</f>
        <v>@finacapacete</v>
      </c>
      <c r="C1384" s="8" t="s">
        <v>1743</v>
      </c>
      <c r="D1384" s="9" t="s">
        <v>2781</v>
      </c>
      <c r="E1384" s="10" t="str">
        <f>HYPERLINK("https://twitter.com/finacapacete/status/1071011106733416450","1071011106733416450")</f>
        <v>1071011106733416450</v>
      </c>
      <c r="F1384" s="11"/>
      <c r="G1384" s="12" t="s">
        <v>2782</v>
      </c>
      <c r="H1384" s="11"/>
      <c r="I1384" s="13">
        <v>0</v>
      </c>
      <c r="J1384" s="13">
        <v>0</v>
      </c>
      <c r="K1384" s="14" t="str">
        <f>HYPERLINK("http://twitter.com/download/android","Twitter for Android")</f>
        <v>Twitter for Android</v>
      </c>
      <c r="L1384" s="13">
        <v>1397</v>
      </c>
      <c r="M1384" s="13">
        <v>1553</v>
      </c>
      <c r="N1384" s="13">
        <v>12</v>
      </c>
      <c r="O1384" s="15"/>
      <c r="P1384" s="6">
        <v>41629.02820601852</v>
      </c>
      <c r="Q1384" s="18" t="s">
        <v>1102</v>
      </c>
      <c r="R1384" s="19" t="s">
        <v>1747</v>
      </c>
      <c r="S1384" s="11"/>
      <c r="T1384" s="11"/>
      <c r="U1384" s="10" t="str">
        <f>HYPERLINK("https://pbs.twimg.com/profile_images/970690987675799552/dmwu2xhE.jpg","View")</f>
        <v>View</v>
      </c>
    </row>
    <row r="1385" spans="1:21" ht="30.6">
      <c r="A1385" s="6">
        <v>43441.540613425925</v>
      </c>
      <c r="B1385" s="7" t="str">
        <f>HYPERLINK("https://twitter.com/macale1980","@macale1980")</f>
        <v>@macale1980</v>
      </c>
      <c r="C1385" s="8" t="s">
        <v>2785</v>
      </c>
      <c r="D1385" s="9" t="s">
        <v>2786</v>
      </c>
      <c r="E1385" s="10" t="str">
        <f>HYPERLINK("https://twitter.com/macale1980/status/1071011059748753408","1071011059748753408")</f>
        <v>1071011059748753408</v>
      </c>
      <c r="F1385" s="12" t="s">
        <v>2789</v>
      </c>
      <c r="G1385" s="12" t="s">
        <v>2790</v>
      </c>
      <c r="H1385" s="11"/>
      <c r="I1385" s="13">
        <v>0</v>
      </c>
      <c r="J1385" s="13">
        <v>0</v>
      </c>
      <c r="K1385" s="14" t="str">
        <f>HYPERLINK("http://twitter.com/download/iphone","Twitter for iPhone")</f>
        <v>Twitter for iPhone</v>
      </c>
      <c r="L1385" s="13">
        <v>125</v>
      </c>
      <c r="M1385" s="13">
        <v>329</v>
      </c>
      <c r="N1385" s="13">
        <v>1</v>
      </c>
      <c r="O1385" s="15"/>
      <c r="P1385" s="6">
        <v>40772.456284722226</v>
      </c>
      <c r="Q1385" s="18" t="s">
        <v>2793</v>
      </c>
      <c r="R1385" s="19" t="s">
        <v>2794</v>
      </c>
      <c r="S1385" s="11"/>
      <c r="T1385" s="11"/>
      <c r="U1385" s="10" t="str">
        <f>HYPERLINK("https://pbs.twimg.com/profile_images/929784171496722432/O7oH_vTg.jpg","View")</f>
        <v>View</v>
      </c>
    </row>
    <row r="1386" spans="1:21" ht="40.799999999999997">
      <c r="A1386" s="6">
        <v>43441.539375</v>
      </c>
      <c r="B1386" s="7" t="str">
        <f>HYPERLINK("https://twitter.com/gara_ice","@gara_ice")</f>
        <v>@gara_ice</v>
      </c>
      <c r="C1386" s="8" t="s">
        <v>1398</v>
      </c>
      <c r="D1386" s="9" t="s">
        <v>5899</v>
      </c>
      <c r="E1386" s="10" t="str">
        <f>HYPERLINK("https://twitter.com/gara_ice/status/1071010607925784577","1071010607925784577")</f>
        <v>1071010607925784577</v>
      </c>
      <c r="F1386" s="12" t="s">
        <v>5900</v>
      </c>
      <c r="G1386" s="11"/>
      <c r="H1386" s="11"/>
      <c r="I1386" s="13">
        <v>0</v>
      </c>
      <c r="J1386" s="13">
        <v>0</v>
      </c>
      <c r="K1386" s="14" t="str">
        <f>HYPERLINK("https://ifttt.com","IFTTT")</f>
        <v>IFTTT</v>
      </c>
      <c r="L1386" s="13">
        <v>450</v>
      </c>
      <c r="M1386" s="13">
        <v>434</v>
      </c>
      <c r="N1386" s="13">
        <v>10</v>
      </c>
      <c r="O1386" s="15"/>
      <c r="P1386" s="6">
        <v>39590.435324074075</v>
      </c>
      <c r="Q1386" s="11"/>
      <c r="R1386" s="17"/>
      <c r="S1386" s="11"/>
      <c r="T1386" s="11"/>
      <c r="U1386" s="10" t="str">
        <f>HYPERLINK("https://pbs.twimg.com/profile_images/561850533468971008/-4f3cnLr.jpeg","View")</f>
        <v>View</v>
      </c>
    </row>
    <row r="1387" spans="1:21" ht="20.399999999999999">
      <c r="A1387" s="6">
        <v>43441.537499999999</v>
      </c>
      <c r="B1387" s="7" t="str">
        <f>HYPERLINK("https://twitter.com/sumariumcom","@sumariumcom")</f>
        <v>@sumariumcom</v>
      </c>
      <c r="C1387" s="8" t="s">
        <v>4153</v>
      </c>
      <c r="D1387" s="9" t="s">
        <v>4154</v>
      </c>
      <c r="E1387" s="10" t="str">
        <f>HYPERLINK("https://twitter.com/sumariumcom/status/1071009929756999680","1071009929756999680")</f>
        <v>1071009929756999680</v>
      </c>
      <c r="F1387" s="12" t="s">
        <v>4156</v>
      </c>
      <c r="G1387" s="12" t="s">
        <v>4157</v>
      </c>
      <c r="H1387" s="11"/>
      <c r="I1387" s="13">
        <v>1</v>
      </c>
      <c r="J1387" s="13">
        <v>0</v>
      </c>
      <c r="K1387" s="14" t="str">
        <f>HYPERLINK("https://about.twitter.com/products/tweetdeck","TweetDeck")</f>
        <v>TweetDeck</v>
      </c>
      <c r="L1387" s="13">
        <v>164401</v>
      </c>
      <c r="M1387" s="13">
        <v>996</v>
      </c>
      <c r="N1387" s="13">
        <v>1122</v>
      </c>
      <c r="O1387" s="15"/>
      <c r="P1387" s="6">
        <v>40977.809594907405</v>
      </c>
      <c r="Q1387" s="18" t="s">
        <v>4159</v>
      </c>
      <c r="R1387" s="17"/>
      <c r="S1387" s="12" t="s">
        <v>4160</v>
      </c>
      <c r="T1387" s="11"/>
      <c r="U1387" s="10" t="str">
        <f>HYPERLINK("https://pbs.twimg.com/profile_images/1061987847874469888/mok5IDTt.jpg","View")</f>
        <v>View</v>
      </c>
    </row>
    <row r="1388" spans="1:21" ht="20.399999999999999">
      <c r="A1388" s="6">
        <v>43441.537395833337</v>
      </c>
      <c r="B1388" s="7" t="str">
        <f>HYPERLINK("https://twitter.com/rieraferre","@rieraferre")</f>
        <v>@rieraferre</v>
      </c>
      <c r="C1388" s="8" t="s">
        <v>4964</v>
      </c>
      <c r="D1388" s="9" t="s">
        <v>5901</v>
      </c>
      <c r="E1388" s="10" t="str">
        <f>HYPERLINK("https://twitter.com/rieraferre/status/1071009891085639680","1071009891085639680")</f>
        <v>1071009891085639680</v>
      </c>
      <c r="F1388" s="12" t="s">
        <v>5842</v>
      </c>
      <c r="G1388" s="11"/>
      <c r="H1388" s="11"/>
      <c r="I1388" s="13">
        <v>0</v>
      </c>
      <c r="J1388" s="13">
        <v>0</v>
      </c>
      <c r="K1388" s="14" t="str">
        <f>HYPERLINK("http://twitter.com","Twitter Web Client")</f>
        <v>Twitter Web Client</v>
      </c>
      <c r="L1388" s="13">
        <v>164</v>
      </c>
      <c r="M1388" s="13">
        <v>125</v>
      </c>
      <c r="N1388" s="13">
        <v>1</v>
      </c>
      <c r="O1388" s="15"/>
      <c r="P1388" s="6">
        <v>41521.43104166667</v>
      </c>
      <c r="Q1388" s="11"/>
      <c r="R1388" s="17"/>
      <c r="S1388" s="11"/>
      <c r="T1388" s="11"/>
      <c r="U1388" s="10" t="str">
        <f>HYPERLINK("https://pbs.twimg.com/profile_images/503102544759898112/bPn1HbME.jpeg","View")</f>
        <v>View</v>
      </c>
    </row>
    <row r="1389" spans="1:21" ht="40.799999999999997">
      <c r="A1389" s="6">
        <v>43441.536134259259</v>
      </c>
      <c r="B1389" s="7" t="str">
        <f>HYPERLINK("https://twitter.com/JulioRCarmona","@JulioRCarmona")</f>
        <v>@JulioRCarmona</v>
      </c>
      <c r="C1389" s="8" t="s">
        <v>5902</v>
      </c>
      <c r="D1389" s="9" t="s">
        <v>5903</v>
      </c>
      <c r="E1389" s="10" t="str">
        <f>HYPERLINK("https://twitter.com/JulioRCarmona/status/1071009437110943744","1071009437110943744")</f>
        <v>1071009437110943744</v>
      </c>
      <c r="F1389" s="12" t="s">
        <v>5904</v>
      </c>
      <c r="G1389" s="11"/>
      <c r="H1389" s="11"/>
      <c r="I1389" s="13">
        <v>0</v>
      </c>
      <c r="J1389" s="13">
        <v>1</v>
      </c>
      <c r="K1389" s="14" t="str">
        <f>HYPERLINK("http://www.facebook.com/twitter","Facebook")</f>
        <v>Facebook</v>
      </c>
      <c r="L1389" s="13">
        <v>970</v>
      </c>
      <c r="M1389" s="13">
        <v>1978</v>
      </c>
      <c r="N1389" s="13">
        <v>33</v>
      </c>
      <c r="O1389" s="15"/>
      <c r="P1389" s="6">
        <v>40263.557303240741</v>
      </c>
      <c r="Q1389" s="18" t="s">
        <v>42</v>
      </c>
      <c r="R1389" s="19" t="s">
        <v>5905</v>
      </c>
      <c r="S1389" s="12" t="s">
        <v>5906</v>
      </c>
      <c r="T1389" s="11"/>
      <c r="U1389" s="10" t="str">
        <f>HYPERLINK("https://pbs.twimg.com/profile_images/440462735126446080/O2pFsSgo.jpeg","View")</f>
        <v>View</v>
      </c>
    </row>
    <row r="1390" spans="1:21" ht="61.2">
      <c r="A1390" s="6">
        <v>43441.535613425927</v>
      </c>
      <c r="B1390" s="7" t="str">
        <f>HYPERLINK("https://twitter.com/lechuzeta","@lechuzeta")</f>
        <v>@lechuzeta</v>
      </c>
      <c r="C1390" s="8" t="s">
        <v>2795</v>
      </c>
      <c r="D1390" s="9" t="s">
        <v>2796</v>
      </c>
      <c r="E1390" s="10" t="str">
        <f>HYPERLINK("https://twitter.com/lechuzeta/status/1071009246056275968","1071009246056275968")</f>
        <v>1071009246056275968</v>
      </c>
      <c r="F1390" s="11"/>
      <c r="G1390" s="12" t="s">
        <v>2797</v>
      </c>
      <c r="H1390" s="11"/>
      <c r="I1390" s="13">
        <v>3</v>
      </c>
      <c r="J1390" s="13">
        <v>1</v>
      </c>
      <c r="K1390" s="14" t="str">
        <f>HYPERLINK("http://twitter.com/download/android","Twitter for Android")</f>
        <v>Twitter for Android</v>
      </c>
      <c r="L1390" s="13">
        <v>2581</v>
      </c>
      <c r="M1390" s="13">
        <v>3292</v>
      </c>
      <c r="N1390" s="13">
        <v>47</v>
      </c>
      <c r="O1390" s="15"/>
      <c r="P1390" s="6">
        <v>41869.697245370371</v>
      </c>
      <c r="Q1390" s="18" t="s">
        <v>2798</v>
      </c>
      <c r="R1390" s="19" t="s">
        <v>2799</v>
      </c>
      <c r="S1390" s="12" t="s">
        <v>2800</v>
      </c>
      <c r="T1390" s="11"/>
      <c r="U1390" s="10" t="str">
        <f>HYPERLINK("https://pbs.twimg.com/profile_images/501385939197771776/wuK0x4a9.jpeg","View")</f>
        <v>View</v>
      </c>
    </row>
    <row r="1391" spans="1:21" ht="30.6">
      <c r="A1391" s="6">
        <v>43441.535381944443</v>
      </c>
      <c r="B1391" s="7" t="str">
        <f>HYPERLINK("https://twitter.com/HistoriaEspanna","@HistoriaEspanna")</f>
        <v>@HistoriaEspanna</v>
      </c>
      <c r="C1391" s="8" t="s">
        <v>5907</v>
      </c>
      <c r="D1391" s="9" t="s">
        <v>5908</v>
      </c>
      <c r="E1391" s="10" t="str">
        <f>HYPERLINK("https://twitter.com/HistoriaEspanna/status/1071009163029958658","1071009163029958658")</f>
        <v>1071009163029958658</v>
      </c>
      <c r="F1391" s="18" t="s">
        <v>547</v>
      </c>
      <c r="G1391" s="11"/>
      <c r="H1391" s="11"/>
      <c r="I1391" s="13">
        <v>2</v>
      </c>
      <c r="J1391" s="13">
        <v>5</v>
      </c>
      <c r="K1391" s="14" t="str">
        <f>HYPERLINK("https://mobile.twitter.com","Twitter Lite")</f>
        <v>Twitter Lite</v>
      </c>
      <c r="L1391" s="13">
        <v>3494</v>
      </c>
      <c r="M1391" s="13">
        <v>420</v>
      </c>
      <c r="N1391" s="13">
        <v>44</v>
      </c>
      <c r="O1391" s="15"/>
      <c r="P1391" s="6">
        <v>42594.862662037034</v>
      </c>
      <c r="Q1391" s="18" t="s">
        <v>5909</v>
      </c>
      <c r="R1391" s="19" t="s">
        <v>5910</v>
      </c>
      <c r="S1391" s="11"/>
      <c r="T1391" s="11"/>
      <c r="U1391" s="10" t="str">
        <f>HYPERLINK("https://pbs.twimg.com/profile_images/764172367052566528/25Bbg8Rw.jpg","View")</f>
        <v>View</v>
      </c>
    </row>
    <row r="1392" spans="1:21" ht="40.799999999999997">
      <c r="A1392" s="6">
        <v>43441.534884259258</v>
      </c>
      <c r="B1392" s="7" t="str">
        <f>HYPERLINK("https://twitter.com/jatomarron","@jatomarron")</f>
        <v>@jatomarron</v>
      </c>
      <c r="C1392" s="8" t="s">
        <v>5911</v>
      </c>
      <c r="D1392" s="9" t="s">
        <v>879</v>
      </c>
      <c r="E1392" s="10" t="str">
        <f>HYPERLINK("https://twitter.com/jatomarron/status/1071008981697617921","1071008981697617921")</f>
        <v>1071008981697617921</v>
      </c>
      <c r="F1392" s="12" t="s">
        <v>881</v>
      </c>
      <c r="G1392" s="11"/>
      <c r="H1392" s="11"/>
      <c r="I1392" s="13">
        <v>3</v>
      </c>
      <c r="J1392" s="13">
        <v>3</v>
      </c>
      <c r="K1392" s="14" t="str">
        <f>HYPERLINK("https://buffer.com","Buffer")</f>
        <v>Buffer</v>
      </c>
      <c r="L1392" s="13">
        <v>5468</v>
      </c>
      <c r="M1392" s="13">
        <v>4570</v>
      </c>
      <c r="N1392" s="13">
        <v>31</v>
      </c>
      <c r="O1392" s="15"/>
      <c r="P1392" s="6">
        <v>42082.456782407404</v>
      </c>
      <c r="Q1392" s="11"/>
      <c r="R1392" s="19" t="s">
        <v>5912</v>
      </c>
      <c r="S1392" s="11"/>
      <c r="T1392" s="11"/>
      <c r="U1392" s="10" t="str">
        <f>HYPERLINK("https://pbs.twimg.com/profile_images/578587385375649792/bWgausBM.jpeg","View")</f>
        <v>View</v>
      </c>
    </row>
    <row r="1393" spans="1:21" ht="71.400000000000006">
      <c r="A1393" s="6">
        <v>43441.534849537042</v>
      </c>
      <c r="B1393" s="7" t="str">
        <f>HYPERLINK("https://twitter.com/FG72373327","@FG72373327")</f>
        <v>@FG72373327</v>
      </c>
      <c r="C1393" s="8" t="s">
        <v>5355</v>
      </c>
      <c r="D1393" s="9" t="s">
        <v>5913</v>
      </c>
      <c r="E1393" s="10" t="str">
        <f>HYPERLINK("https://twitter.com/FG72373327/status/1071008970536415233","1071008970536415233")</f>
        <v>1071008970536415233</v>
      </c>
      <c r="F1393" s="12" t="s">
        <v>3573</v>
      </c>
      <c r="G1393" s="12" t="s">
        <v>3574</v>
      </c>
      <c r="H1393" s="11"/>
      <c r="I1393" s="13">
        <v>0</v>
      </c>
      <c r="J1393" s="13">
        <v>1</v>
      </c>
      <c r="K1393" s="14" t="str">
        <f>HYPERLINK("http://twitter.com/download/iphone","Twitter for iPhone")</f>
        <v>Twitter for iPhone</v>
      </c>
      <c r="L1393" s="13">
        <v>888</v>
      </c>
      <c r="M1393" s="13">
        <v>926</v>
      </c>
      <c r="N1393" s="13">
        <v>6</v>
      </c>
      <c r="O1393" s="15"/>
      <c r="P1393" s="6">
        <v>42977.396006944444</v>
      </c>
      <c r="Q1393" s="18" t="s">
        <v>41</v>
      </c>
      <c r="R1393" s="17"/>
      <c r="S1393" s="11"/>
      <c r="T1393" s="11"/>
      <c r="U1393" s="10" t="str">
        <f>HYPERLINK("https://pbs.twimg.com/profile_images/902802729009111040/RUuGyEn7.jpg","View")</f>
        <v>View</v>
      </c>
    </row>
    <row r="1394" spans="1:21" ht="71.400000000000006">
      <c r="A1394" s="6">
        <v>43441.533310185187</v>
      </c>
      <c r="B1394" s="7" t="str">
        <f>HYPERLINK("https://twitter.com/nuriadeboevere","@nuriadeboevere")</f>
        <v>@nuriadeboevere</v>
      </c>
      <c r="C1394" s="8" t="s">
        <v>5914</v>
      </c>
      <c r="D1394" s="9" t="s">
        <v>5915</v>
      </c>
      <c r="E1394" s="10" t="str">
        <f>HYPERLINK("https://twitter.com/nuriadeboevere/status/1071008411175800832","1071008411175800832")</f>
        <v>1071008411175800832</v>
      </c>
      <c r="F1394" s="18" t="s">
        <v>5916</v>
      </c>
      <c r="G1394" s="11"/>
      <c r="H1394" s="11"/>
      <c r="I1394" s="13">
        <v>0</v>
      </c>
      <c r="J1394" s="13">
        <v>0</v>
      </c>
      <c r="K1394" s="14" t="str">
        <f>HYPERLINK("http://twitter.com","Twitter Web Client")</f>
        <v>Twitter Web Client</v>
      </c>
      <c r="L1394" s="13">
        <v>276</v>
      </c>
      <c r="M1394" s="13">
        <v>483</v>
      </c>
      <c r="N1394" s="13">
        <v>2</v>
      </c>
      <c r="O1394" s="15"/>
      <c r="P1394" s="6">
        <v>41566.672500000001</v>
      </c>
      <c r="Q1394" s="18" t="s">
        <v>5917</v>
      </c>
      <c r="R1394" s="17"/>
      <c r="S1394" s="11"/>
      <c r="T1394" s="11"/>
      <c r="U1394" s="10" t="str">
        <f>HYPERLINK("https://pbs.twimg.com/profile_images/1006599359021101057/YhtDBifb.jpg","View")</f>
        <v>View</v>
      </c>
    </row>
    <row r="1395" spans="1:21" ht="30.6">
      <c r="A1395" s="6">
        <v>43441.532812500001</v>
      </c>
      <c r="B1395" s="7" t="str">
        <f>HYPERLINK("https://twitter.com/RadioSportDjs","@RadioSportDjs")</f>
        <v>@RadioSportDjs</v>
      </c>
      <c r="C1395" s="8" t="s">
        <v>5817</v>
      </c>
      <c r="D1395" s="9" t="s">
        <v>5918</v>
      </c>
      <c r="E1395" s="10" t="str">
        <f>HYPERLINK("https://twitter.com/RadioSportDjs/status/1071008232594907136","1071008232594907136")</f>
        <v>1071008232594907136</v>
      </c>
      <c r="F1395" s="11"/>
      <c r="G1395" s="12" t="s">
        <v>5919</v>
      </c>
      <c r="H1395" s="11"/>
      <c r="I1395" s="13">
        <v>3</v>
      </c>
      <c r="J1395" s="13">
        <v>4</v>
      </c>
      <c r="K1395" s="14" t="str">
        <f t="shared" ref="K1395:K1396" si="243">HYPERLINK("http://twitter.com/download/android","Twitter for Android")</f>
        <v>Twitter for Android</v>
      </c>
      <c r="L1395" s="13">
        <v>2110</v>
      </c>
      <c r="M1395" s="13">
        <v>2053</v>
      </c>
      <c r="N1395" s="13">
        <v>24</v>
      </c>
      <c r="O1395" s="15"/>
      <c r="P1395" s="6">
        <v>41551.462199074071</v>
      </c>
      <c r="Q1395" s="18" t="s">
        <v>42</v>
      </c>
      <c r="R1395" s="19" t="s">
        <v>5822</v>
      </c>
      <c r="S1395" s="12" t="s">
        <v>5823</v>
      </c>
      <c r="T1395" s="11"/>
      <c r="U1395" s="10" t="str">
        <f>HYPERLINK("https://pbs.twimg.com/profile_images/378800000627895027/e0f63bdea2f7df7fc09d2a06e3bd2819.png","View")</f>
        <v>View</v>
      </c>
    </row>
    <row r="1396" spans="1:21" ht="51">
      <c r="A1396" s="6">
        <v>43441.531435185185</v>
      </c>
      <c r="B1396" s="7" t="str">
        <f>HYPERLINK("https://twitter.com/Sebasti71115862","@Sebasti71115862")</f>
        <v>@Sebasti71115862</v>
      </c>
      <c r="C1396" s="8" t="s">
        <v>5920</v>
      </c>
      <c r="D1396" s="9" t="s">
        <v>5921</v>
      </c>
      <c r="E1396" s="10" t="str">
        <f>HYPERLINK("https://twitter.com/Sebasti71115862/status/1071007733393092608","1071007733393092608")</f>
        <v>1071007733393092608</v>
      </c>
      <c r="F1396" s="12" t="s">
        <v>166</v>
      </c>
      <c r="G1396" s="11"/>
      <c r="H1396" s="11"/>
      <c r="I1396" s="13">
        <v>0</v>
      </c>
      <c r="J1396" s="13">
        <v>0</v>
      </c>
      <c r="K1396" s="14" t="str">
        <f t="shared" si="243"/>
        <v>Twitter for Android</v>
      </c>
      <c r="L1396" s="13">
        <v>179</v>
      </c>
      <c r="M1396" s="13">
        <v>239</v>
      </c>
      <c r="N1396" s="13">
        <v>1</v>
      </c>
      <c r="O1396" s="15"/>
      <c r="P1396" s="6">
        <v>43265.191921296297</v>
      </c>
      <c r="Q1396" s="18" t="s">
        <v>5922</v>
      </c>
      <c r="R1396" s="19" t="s">
        <v>5923</v>
      </c>
      <c r="S1396" s="11"/>
      <c r="T1396" s="11"/>
      <c r="U1396" s="10" t="str">
        <f>HYPERLINK("https://pbs.twimg.com/profile_images/1044472800503898112/gnVHDBVu.jpg","View")</f>
        <v>View</v>
      </c>
    </row>
    <row r="1397" spans="1:21" ht="51">
      <c r="A1397" s="6">
        <v>43441.529814814814</v>
      </c>
      <c r="B1397" s="7" t="str">
        <f>HYPERLINK("https://twitter.com/Kojackadas","@Kojackadas")</f>
        <v>@Kojackadas</v>
      </c>
      <c r="C1397" s="8" t="s">
        <v>5924</v>
      </c>
      <c r="D1397" s="9" t="s">
        <v>5925</v>
      </c>
      <c r="E1397" s="10" t="str">
        <f>HYPERLINK("https://twitter.com/Kojackadas/status/1071007145305477120","1071007145305477120")</f>
        <v>1071007145305477120</v>
      </c>
      <c r="F1397" s="11"/>
      <c r="G1397" s="11"/>
      <c r="H1397" s="11"/>
      <c r="I1397" s="13">
        <v>1</v>
      </c>
      <c r="J1397" s="13">
        <v>0</v>
      </c>
      <c r="K1397" s="14" t="str">
        <f>HYPERLINK("http://twitter.com","Twitter Web Client")</f>
        <v>Twitter Web Client</v>
      </c>
      <c r="L1397" s="13">
        <v>6167</v>
      </c>
      <c r="M1397" s="13">
        <v>6760</v>
      </c>
      <c r="N1397" s="13">
        <v>26</v>
      </c>
      <c r="O1397" s="15"/>
      <c r="P1397" s="6">
        <v>41389.461724537039</v>
      </c>
      <c r="Q1397" s="18" t="s">
        <v>5926</v>
      </c>
      <c r="R1397" s="19" t="s">
        <v>5927</v>
      </c>
      <c r="S1397" s="12" t="s">
        <v>5928</v>
      </c>
      <c r="T1397" s="11"/>
      <c r="U1397" s="10" t="str">
        <f>HYPERLINK("https://pbs.twimg.com/profile_images/3572377129/ceb12f4ec045ef03e87300a9c0b4caca.jpeg","View")</f>
        <v>View</v>
      </c>
    </row>
    <row r="1398" spans="1:21" ht="30.6">
      <c r="A1398" s="6">
        <v>43441.529791666668</v>
      </c>
      <c r="B1398" s="7" t="str">
        <f>HYPERLINK("https://twitter.com/xestadominimo","@xestadominimo")</f>
        <v>@xestadominimo</v>
      </c>
      <c r="C1398" s="8" t="s">
        <v>5929</v>
      </c>
      <c r="D1398" s="9" t="s">
        <v>5930</v>
      </c>
      <c r="E1398" s="10" t="str">
        <f>HYPERLINK("https://twitter.com/xestadominimo/status/1071007137290178560","1071007137290178560")</f>
        <v>1071007137290178560</v>
      </c>
      <c r="F1398" s="11"/>
      <c r="G1398" s="11"/>
      <c r="H1398" s="11"/>
      <c r="I1398" s="13">
        <v>1</v>
      </c>
      <c r="J1398" s="13">
        <v>1</v>
      </c>
      <c r="K1398" s="14" t="str">
        <f t="shared" ref="K1398:K1399" si="244">HYPERLINK("http://twitter.com/download/android","Twitter for Android")</f>
        <v>Twitter for Android</v>
      </c>
      <c r="L1398" s="13">
        <v>1048</v>
      </c>
      <c r="M1398" s="13">
        <v>1822</v>
      </c>
      <c r="N1398" s="13">
        <v>12</v>
      </c>
      <c r="O1398" s="15"/>
      <c r="P1398" s="6">
        <v>42144.545185185183</v>
      </c>
      <c r="Q1398" s="18" t="s">
        <v>898</v>
      </c>
      <c r="R1398" s="19" t="s">
        <v>5931</v>
      </c>
      <c r="S1398" s="11"/>
      <c r="T1398" s="11"/>
      <c r="U1398" s="10" t="str">
        <f>HYPERLINK("https://pbs.twimg.com/profile_images/1030486696285155331/iq9HYZWD.jpg","View")</f>
        <v>View</v>
      </c>
    </row>
    <row r="1399" spans="1:21" ht="20.399999999999999">
      <c r="A1399" s="6">
        <v>43441.529664351852</v>
      </c>
      <c r="B1399" s="7" t="str">
        <f>HYPERLINK("https://twitter.com/torresnillo_","@torresnillo_")</f>
        <v>@torresnillo_</v>
      </c>
      <c r="C1399" s="8" t="s">
        <v>2801</v>
      </c>
      <c r="D1399" s="9" t="s">
        <v>2802</v>
      </c>
      <c r="E1399" s="10" t="str">
        <f>HYPERLINK("https://twitter.com/torresnillo_/status/1071007093073821696","1071007093073821696")</f>
        <v>1071007093073821696</v>
      </c>
      <c r="F1399" s="12" t="s">
        <v>2803</v>
      </c>
      <c r="G1399" s="11"/>
      <c r="H1399" s="11"/>
      <c r="I1399" s="13">
        <v>0</v>
      </c>
      <c r="J1399" s="13">
        <v>0</v>
      </c>
      <c r="K1399" s="14" t="str">
        <f t="shared" si="244"/>
        <v>Twitter for Android</v>
      </c>
      <c r="L1399" s="13">
        <v>12</v>
      </c>
      <c r="M1399" s="13">
        <v>55</v>
      </c>
      <c r="N1399" s="13">
        <v>0</v>
      </c>
      <c r="O1399" s="15"/>
      <c r="P1399" s="6">
        <v>43441.504872685182</v>
      </c>
      <c r="Q1399" s="11"/>
      <c r="R1399" s="19" t="s">
        <v>2805</v>
      </c>
      <c r="S1399" s="11"/>
      <c r="T1399" s="11"/>
      <c r="U1399" s="10" t="str">
        <f>HYPERLINK("https://pbs.twimg.com/profile_images/1070999368264757249/pXBGrj6S.jpg","View")</f>
        <v>View</v>
      </c>
    </row>
    <row r="1400" spans="1:21" ht="40.799999999999997">
      <c r="A1400" s="6">
        <v>43441.529537037037</v>
      </c>
      <c r="B1400" s="7" t="str">
        <f>HYPERLINK("https://twitter.com/mcargarin13","@mcargarin13")</f>
        <v>@mcargarin13</v>
      </c>
      <c r="C1400" s="8" t="s">
        <v>2448</v>
      </c>
      <c r="D1400" s="9" t="s">
        <v>2806</v>
      </c>
      <c r="E1400" s="10" t="str">
        <f>HYPERLINK("https://twitter.com/mcargarin13/status/1071007045258743810","1071007045258743810")</f>
        <v>1071007045258743810</v>
      </c>
      <c r="F1400" s="18" t="s">
        <v>2466</v>
      </c>
      <c r="G1400" s="11"/>
      <c r="H1400" s="11"/>
      <c r="I1400" s="13">
        <v>7</v>
      </c>
      <c r="J1400" s="13">
        <v>7</v>
      </c>
      <c r="K1400" s="14" t="str">
        <f>HYPERLINK("https://mobile.twitter.com","Twitter Lite")</f>
        <v>Twitter Lite</v>
      </c>
      <c r="L1400" s="13">
        <v>34</v>
      </c>
      <c r="M1400" s="13">
        <v>210</v>
      </c>
      <c r="N1400" s="13">
        <v>0</v>
      </c>
      <c r="O1400" s="15"/>
      <c r="P1400" s="6">
        <v>43436.526886574073</v>
      </c>
      <c r="Q1400" s="11"/>
      <c r="R1400" s="17"/>
      <c r="S1400" s="11"/>
      <c r="T1400" s="11"/>
      <c r="U1400" s="10" t="str">
        <f>HYPERLINK("https://pbs.twimg.com/profile_images/1069373219247964160/dh3Ow5gy.jpg","View")</f>
        <v>View</v>
      </c>
    </row>
    <row r="1401" spans="1:21" ht="40.799999999999997">
      <c r="A1401" s="6">
        <v>43441.529293981483</v>
      </c>
      <c r="B1401" s="7" t="str">
        <f>HYPERLINK("https://twitter.com/bolsaeconomia","@bolsaeconomia")</f>
        <v>@bolsaeconomia</v>
      </c>
      <c r="C1401" s="8" t="s">
        <v>5932</v>
      </c>
      <c r="D1401" s="9" t="s">
        <v>5933</v>
      </c>
      <c r="E1401" s="10" t="str">
        <f>HYPERLINK("https://twitter.com/bolsaeconomia/status/1071006957744590848","1071006957744590848")</f>
        <v>1071006957744590848</v>
      </c>
      <c r="F1401" s="11"/>
      <c r="G1401" s="11"/>
      <c r="H1401" s="11"/>
      <c r="I1401" s="13">
        <v>0</v>
      </c>
      <c r="J1401" s="13">
        <v>0</v>
      </c>
      <c r="K1401" s="14" t="str">
        <f>HYPERLINK("http://www.facebook.com/twitter","Facebook")</f>
        <v>Facebook</v>
      </c>
      <c r="L1401" s="13">
        <v>44</v>
      </c>
      <c r="M1401" s="13">
        <v>36</v>
      </c>
      <c r="N1401" s="13">
        <v>1</v>
      </c>
      <c r="O1401" s="15"/>
      <c r="P1401" s="6">
        <v>41727.496504629627</v>
      </c>
      <c r="Q1401" s="18" t="s">
        <v>5122</v>
      </c>
      <c r="R1401" s="19" t="s">
        <v>5934</v>
      </c>
      <c r="S1401" s="12" t="s">
        <v>5935</v>
      </c>
      <c r="T1401" s="11"/>
      <c r="U1401" s="10" t="str">
        <f>HYPERLINK("https://pbs.twimg.com/profile_images/449863944216133632/LBx3J7Rg.jpeg","View")</f>
        <v>View</v>
      </c>
    </row>
    <row r="1402" spans="1:21" ht="51">
      <c r="A1402" s="6">
        <v>43441.528564814813</v>
      </c>
      <c r="B1402" s="7" t="str">
        <f>HYPERLINK("https://twitter.com/Muriel_Rot","@Muriel_Rot")</f>
        <v>@Muriel_Rot</v>
      </c>
      <c r="C1402" s="8" t="s">
        <v>2807</v>
      </c>
      <c r="D1402" s="9" t="s">
        <v>2808</v>
      </c>
      <c r="E1402" s="10" t="str">
        <f>HYPERLINK("https://twitter.com/Muriel_Rot/status/1071006693566439424","1071006693566439424")</f>
        <v>1071006693566439424</v>
      </c>
      <c r="F1402" s="11"/>
      <c r="G1402" s="11"/>
      <c r="H1402" s="11"/>
      <c r="I1402" s="13">
        <v>5</v>
      </c>
      <c r="J1402" s="13">
        <v>5</v>
      </c>
      <c r="K1402" s="14" t="str">
        <f>HYPERLINK("http://twitter.com/download/android","Twitter for Android")</f>
        <v>Twitter for Android</v>
      </c>
      <c r="L1402" s="13">
        <v>2445</v>
      </c>
      <c r="M1402" s="13">
        <v>1684</v>
      </c>
      <c r="N1402" s="13">
        <v>28</v>
      </c>
      <c r="O1402" s="15"/>
      <c r="P1402" s="6">
        <v>40921.429594907408</v>
      </c>
      <c r="Q1402" s="18" t="s">
        <v>42</v>
      </c>
      <c r="R1402" s="19" t="s">
        <v>2809</v>
      </c>
      <c r="S1402" s="11"/>
      <c r="T1402" s="11"/>
      <c r="U1402" s="10" t="str">
        <f>HYPERLINK("https://pbs.twimg.com/profile_images/531718380206948352/cfSL6DBr.jpeg","View")</f>
        <v>View</v>
      </c>
    </row>
    <row r="1403" spans="1:21" ht="61.2">
      <c r="A1403" s="6">
        <v>43441.528460648144</v>
      </c>
      <c r="B1403" s="7" t="str">
        <f>HYPERLINK("https://twitter.com/AsCeTaCaChoNDo","@AsCeTaCaChoNDo")</f>
        <v>@AsCeTaCaChoNDo</v>
      </c>
      <c r="C1403" s="8" t="s">
        <v>2811</v>
      </c>
      <c r="D1403" s="9" t="s">
        <v>2812</v>
      </c>
      <c r="E1403" s="10" t="str">
        <f>HYPERLINK("https://twitter.com/AsCeTaCaChoNDo/status/1071006656274796545","1071006656274796545")</f>
        <v>1071006656274796545</v>
      </c>
      <c r="F1403" s="11"/>
      <c r="G1403" s="12" t="s">
        <v>2814</v>
      </c>
      <c r="H1403" s="11"/>
      <c r="I1403" s="13">
        <v>2</v>
      </c>
      <c r="J1403" s="13">
        <v>2</v>
      </c>
      <c r="K1403" s="14" t="str">
        <f t="shared" ref="K1403:K1404" si="245">HYPERLINK("http://twitter.com","Twitter Web Client")</f>
        <v>Twitter Web Client</v>
      </c>
      <c r="L1403" s="13">
        <v>31</v>
      </c>
      <c r="M1403" s="13">
        <v>6</v>
      </c>
      <c r="N1403" s="13">
        <v>1</v>
      </c>
      <c r="O1403" s="15"/>
      <c r="P1403" s="6">
        <v>42894.553159722222</v>
      </c>
      <c r="Q1403" s="18" t="s">
        <v>2815</v>
      </c>
      <c r="R1403" s="19" t="s">
        <v>2816</v>
      </c>
      <c r="S1403" s="11"/>
      <c r="T1403" s="11"/>
      <c r="U1403" s="10" t="str">
        <f>HYPERLINK("https://pbs.twimg.com/profile_images/974912742632120320/9WrDhDqS.jpg","View")</f>
        <v>View</v>
      </c>
    </row>
    <row r="1404" spans="1:21" ht="51">
      <c r="A1404" s="6">
        <v>43441.528136574074</v>
      </c>
      <c r="B1404" s="7" t="str">
        <f>HYPERLINK("https://twitter.com/pao_reilly","@pao_reilly")</f>
        <v>@pao_reilly</v>
      </c>
      <c r="C1404" s="8" t="s">
        <v>5936</v>
      </c>
      <c r="D1404" s="9" t="s">
        <v>5937</v>
      </c>
      <c r="E1404" s="10" t="str">
        <f>HYPERLINK("https://twitter.com/pao_reilly/status/1071006535545958401","1071006535545958401")</f>
        <v>1071006535545958401</v>
      </c>
      <c r="F1404" s="12" t="s">
        <v>1955</v>
      </c>
      <c r="G1404" s="11"/>
      <c r="H1404" s="11"/>
      <c r="I1404" s="13">
        <v>0</v>
      </c>
      <c r="J1404" s="13">
        <v>0</v>
      </c>
      <c r="K1404" s="14" t="str">
        <f t="shared" si="245"/>
        <v>Twitter Web Client</v>
      </c>
      <c r="L1404" s="13">
        <v>639</v>
      </c>
      <c r="M1404" s="13">
        <v>85</v>
      </c>
      <c r="N1404" s="13">
        <v>9</v>
      </c>
      <c r="O1404" s="15"/>
      <c r="P1404" s="6">
        <v>42447.972430555557</v>
      </c>
      <c r="Q1404" s="11"/>
      <c r="R1404" s="19" t="s">
        <v>5938</v>
      </c>
      <c r="S1404" s="11"/>
      <c r="T1404" s="11"/>
      <c r="U1404" s="10" t="str">
        <f>HYPERLINK("https://pbs.twimg.com/profile_images/761612773965066240/HqBU8QIw.jpg","View")</f>
        <v>View</v>
      </c>
    </row>
    <row r="1405" spans="1:21" ht="40.799999999999997">
      <c r="A1405" s="6">
        <v>43441.528032407412</v>
      </c>
      <c r="B1405" s="7" t="str">
        <f>HYPERLINK("https://twitter.com/Toyaburria2","@Toyaburria2")</f>
        <v>@Toyaburria2</v>
      </c>
      <c r="C1405" s="8" t="s">
        <v>5939</v>
      </c>
      <c r="D1405" s="9" t="s">
        <v>5940</v>
      </c>
      <c r="E1405" s="10" t="str">
        <f>HYPERLINK("https://twitter.com/Toyaburria2/status/1071006498405433349","1071006498405433349")</f>
        <v>1071006498405433349</v>
      </c>
      <c r="F1405" s="18" t="s">
        <v>4128</v>
      </c>
      <c r="G1405" s="11"/>
      <c r="H1405" s="11"/>
      <c r="I1405" s="13">
        <v>0</v>
      </c>
      <c r="J1405" s="13">
        <v>0</v>
      </c>
      <c r="K1405" s="14" t="str">
        <f>HYPERLINK("http://twitter.com/download/android","Twitter for Android")</f>
        <v>Twitter for Android</v>
      </c>
      <c r="L1405" s="13">
        <v>317</v>
      </c>
      <c r="M1405" s="13">
        <v>758</v>
      </c>
      <c r="N1405" s="13">
        <v>0</v>
      </c>
      <c r="O1405" s="15"/>
      <c r="P1405" s="6">
        <v>41629.952499999999</v>
      </c>
      <c r="Q1405" s="11"/>
      <c r="R1405" s="17"/>
      <c r="S1405" s="11"/>
      <c r="T1405" s="11"/>
      <c r="U1405" s="10" t="str">
        <f>HYPERLINK("https://pbs.twimg.com/profile_images/1017174800941404161/zow_tcW7.jpg","View")</f>
        <v>View</v>
      </c>
    </row>
    <row r="1406" spans="1:21" ht="51">
      <c r="A1406" s="6">
        <v>43441.527777777781</v>
      </c>
      <c r="B1406" s="7" t="str">
        <f>HYPERLINK("https://twitter.com/_Contrainfo","@_Contrainfo")</f>
        <v>@_Contrainfo</v>
      </c>
      <c r="C1406" s="22" t="s">
        <v>5895</v>
      </c>
      <c r="D1406" s="9" t="s">
        <v>5941</v>
      </c>
      <c r="E1406" s="10" t="str">
        <f>HYPERLINK("https://twitter.com/_Contrainfo/status/1071006407758110720","1071006407758110720")</f>
        <v>1071006407758110720</v>
      </c>
      <c r="F1406" s="12" t="s">
        <v>881</v>
      </c>
      <c r="G1406" s="11"/>
      <c r="H1406" s="11"/>
      <c r="I1406" s="13">
        <v>0</v>
      </c>
      <c r="J1406" s="13">
        <v>2</v>
      </c>
      <c r="K1406" s="14" t="str">
        <f>HYPERLINK("https://buffer.com","Buffer")</f>
        <v>Buffer</v>
      </c>
      <c r="L1406" s="13">
        <v>15352</v>
      </c>
      <c r="M1406" s="13">
        <v>1029</v>
      </c>
      <c r="N1406" s="13">
        <v>161</v>
      </c>
      <c r="O1406" s="15"/>
      <c r="P1406" s="6">
        <v>42577.386944444443</v>
      </c>
      <c r="Q1406" s="18" t="s">
        <v>5897</v>
      </c>
      <c r="R1406" s="19" t="s">
        <v>5898</v>
      </c>
      <c r="S1406" s="12" t="s">
        <v>5894</v>
      </c>
      <c r="T1406" s="11"/>
      <c r="U1406" s="10" t="str">
        <f>HYPERLINK("https://pbs.twimg.com/profile_images/940273743942651904/7k685Ol4.jpg","View")</f>
        <v>View</v>
      </c>
    </row>
    <row r="1407" spans="1:21" ht="20.399999999999999">
      <c r="A1407" s="6">
        <v>43441.527361111112</v>
      </c>
      <c r="B1407" s="7" t="str">
        <f>HYPERLINK("https://twitter.com/rauldelarosac","@rauldelarosac")</f>
        <v>@rauldelarosac</v>
      </c>
      <c r="C1407" s="8" t="s">
        <v>5942</v>
      </c>
      <c r="D1407" s="9" t="s">
        <v>2453</v>
      </c>
      <c r="E1407" s="10" t="str">
        <f>HYPERLINK("https://twitter.com/rauldelarosac/status/1071006257048420352","1071006257048420352")</f>
        <v>1071006257048420352</v>
      </c>
      <c r="F1407" s="12" t="s">
        <v>2454</v>
      </c>
      <c r="G1407" s="11"/>
      <c r="H1407" s="11"/>
      <c r="I1407" s="13">
        <v>0</v>
      </c>
      <c r="J1407" s="13">
        <v>0</v>
      </c>
      <c r="K1407" s="14" t="str">
        <f>HYPERLINK("https://www.google.com/","Google")</f>
        <v>Google</v>
      </c>
      <c r="L1407" s="13">
        <v>148</v>
      </c>
      <c r="M1407" s="13">
        <v>324</v>
      </c>
      <c r="N1407" s="13">
        <v>1</v>
      </c>
      <c r="O1407" s="15"/>
      <c r="P1407" s="6">
        <v>40420.953321759262</v>
      </c>
      <c r="Q1407" s="18" t="s">
        <v>5943</v>
      </c>
      <c r="R1407" s="19" t="s">
        <v>5944</v>
      </c>
      <c r="S1407" s="12" t="s">
        <v>5945</v>
      </c>
      <c r="T1407" s="11"/>
      <c r="U1407" s="10" t="str">
        <f>HYPERLINK("https://pbs.twimg.com/profile_images/378800000144467538/66c4b13536d398ca9608ff5a5df84113.jpeg","View")</f>
        <v>View</v>
      </c>
    </row>
    <row r="1408" spans="1:21" ht="40.799999999999997">
      <c r="A1408" s="6">
        <v>43441.527326388888</v>
      </c>
      <c r="B1408" s="7" t="str">
        <f>HYPERLINK("https://twitter.com/HoyPorHoy","@HoyPorHoy")</f>
        <v>@HoyPorHoy</v>
      </c>
      <c r="C1408" s="8" t="s">
        <v>5946</v>
      </c>
      <c r="D1408" s="9" t="s">
        <v>5947</v>
      </c>
      <c r="E1408" s="10" t="str">
        <f>HYPERLINK("https://twitter.com/HoyPorHoy/status/1071006242120888326","1071006242120888326")</f>
        <v>1071006242120888326</v>
      </c>
      <c r="F1408" s="11"/>
      <c r="G1408" s="11"/>
      <c r="H1408" s="11"/>
      <c r="I1408" s="13">
        <v>17</v>
      </c>
      <c r="J1408" s="13">
        <v>41</v>
      </c>
      <c r="K1408" s="14" t="str">
        <f>HYPERLINK("http://twitter.com/download/iphone","Twitter for iPhone")</f>
        <v>Twitter for iPhone</v>
      </c>
      <c r="L1408" s="13">
        <v>151841</v>
      </c>
      <c r="M1408" s="13">
        <v>549</v>
      </c>
      <c r="N1408" s="13">
        <v>1957</v>
      </c>
      <c r="O1408" s="16" t="s">
        <v>25</v>
      </c>
      <c r="P1408" s="6">
        <v>40524.8125</v>
      </c>
      <c r="Q1408" s="18" t="s">
        <v>5948</v>
      </c>
      <c r="R1408" s="19" t="s">
        <v>5949</v>
      </c>
      <c r="S1408" s="12" t="s">
        <v>5950</v>
      </c>
      <c r="T1408" s="11"/>
      <c r="U1408" s="10" t="str">
        <f>HYPERLINK("https://pbs.twimg.com/profile_images/1048055720007163905/tEd_7iXy.jpg","View")</f>
        <v>View</v>
      </c>
    </row>
    <row r="1409" spans="1:21" ht="61.2">
      <c r="A1409" s="6">
        <v>43441.52725694445</v>
      </c>
      <c r="B1409" s="7" t="str">
        <f>HYPERLINK("https://twitter.com/luigiaguilar","@luigiaguilar")</f>
        <v>@luigiaguilar</v>
      </c>
      <c r="C1409" s="8" t="s">
        <v>2817</v>
      </c>
      <c r="D1409" s="9" t="s">
        <v>2819</v>
      </c>
      <c r="E1409" s="10" t="str">
        <f>HYPERLINK("https://twitter.com/luigiaguilar/status/1071006217097629696","1071006217097629696")</f>
        <v>1071006217097629696</v>
      </c>
      <c r="F1409" s="11"/>
      <c r="G1409" s="12" t="s">
        <v>2820</v>
      </c>
      <c r="H1409" s="11"/>
      <c r="I1409" s="13">
        <v>90</v>
      </c>
      <c r="J1409" s="13">
        <v>98</v>
      </c>
      <c r="K1409" s="14" t="str">
        <f>HYPERLINK("http://twitter.com/download/android","Twitter for Android")</f>
        <v>Twitter for Android</v>
      </c>
      <c r="L1409" s="13">
        <v>40078</v>
      </c>
      <c r="M1409" s="13">
        <v>34297</v>
      </c>
      <c r="N1409" s="13">
        <v>200</v>
      </c>
      <c r="O1409" s="15"/>
      <c r="P1409" s="6">
        <v>39986.042592592596</v>
      </c>
      <c r="Q1409" s="18" t="s">
        <v>2822</v>
      </c>
      <c r="R1409" s="19" t="s">
        <v>2823</v>
      </c>
      <c r="S1409" s="12" t="s">
        <v>2824</v>
      </c>
      <c r="T1409" s="11"/>
      <c r="U1409" s="10" t="str">
        <f>HYPERLINK("https://pbs.twimg.com/profile_images/1010513492133244928/kgQzFk57.jpg","View")</f>
        <v>View</v>
      </c>
    </row>
    <row r="1410" spans="1:21" ht="61.2">
      <c r="A1410" s="6">
        <v>43441.525243055556</v>
      </c>
      <c r="B1410" s="7" t="str">
        <f>HYPERLINK("https://twitter.com/AlmudenaMF","@AlmudenaMF")</f>
        <v>@AlmudenaMF</v>
      </c>
      <c r="C1410" s="8" t="s">
        <v>5951</v>
      </c>
      <c r="D1410" s="9" t="s">
        <v>5952</v>
      </c>
      <c r="E1410" s="10" t="str">
        <f>HYPERLINK("https://twitter.com/AlmudenaMF/status/1071005488916119553","1071005488916119553")</f>
        <v>1071005488916119553</v>
      </c>
      <c r="F1410" s="12" t="s">
        <v>732</v>
      </c>
      <c r="G1410" s="11"/>
      <c r="H1410" s="11"/>
      <c r="I1410" s="13">
        <v>5</v>
      </c>
      <c r="J1410" s="13">
        <v>9</v>
      </c>
      <c r="K1410" s="14" t="str">
        <f>HYPERLINK("http://twitter.com/download/iphone","Twitter for iPhone")</f>
        <v>Twitter for iPhone</v>
      </c>
      <c r="L1410" s="13">
        <v>1560</v>
      </c>
      <c r="M1410" s="13">
        <v>557</v>
      </c>
      <c r="N1410" s="13">
        <v>53</v>
      </c>
      <c r="O1410" s="15"/>
      <c r="P1410" s="6">
        <v>40333.789629629631</v>
      </c>
      <c r="Q1410" s="11"/>
      <c r="R1410" s="19" t="s">
        <v>5953</v>
      </c>
      <c r="S1410" s="11"/>
      <c r="T1410" s="11"/>
      <c r="U1410" s="10" t="str">
        <f>HYPERLINK("https://pbs.twimg.com/profile_images/1331445728/pasaporte.JPG","View")</f>
        <v>View</v>
      </c>
    </row>
    <row r="1411" spans="1:21" ht="61.2">
      <c r="A1411" s="6">
        <v>43441.52480324074</v>
      </c>
      <c r="B1411" s="7" t="str">
        <f>HYPERLINK("https://twitter.com/seby_perez","@seby_perez")</f>
        <v>@seby_perez</v>
      </c>
      <c r="C1411" s="8" t="s">
        <v>120</v>
      </c>
      <c r="D1411" s="9" t="s">
        <v>2825</v>
      </c>
      <c r="E1411" s="10" t="str">
        <f>HYPERLINK("https://twitter.com/seby_perez/status/1071005330358890496","1071005330358890496")</f>
        <v>1071005330358890496</v>
      </c>
      <c r="F1411" s="12" t="s">
        <v>2827</v>
      </c>
      <c r="G1411" s="12" t="s">
        <v>2829</v>
      </c>
      <c r="H1411" s="11"/>
      <c r="I1411" s="13">
        <v>0</v>
      </c>
      <c r="J1411" s="13">
        <v>2</v>
      </c>
      <c r="K1411" s="14" t="str">
        <f>HYPERLINK("https://mobile.twitter.com","Twitter Lite")</f>
        <v>Twitter Lite</v>
      </c>
      <c r="L1411" s="13">
        <v>1627</v>
      </c>
      <c r="M1411" s="13">
        <v>1623</v>
      </c>
      <c r="N1411" s="13">
        <v>5</v>
      </c>
      <c r="O1411" s="15"/>
      <c r="P1411" s="6">
        <v>41914.773379629631</v>
      </c>
      <c r="Q1411" s="18" t="s">
        <v>42</v>
      </c>
      <c r="R1411" s="19" t="s">
        <v>126</v>
      </c>
      <c r="S1411" s="11"/>
      <c r="T1411" s="11"/>
      <c r="U1411" s="10" t="str">
        <f>HYPERLINK("https://pbs.twimg.com/profile_images/1067411848234967040/zd7J5BWO.jpg","View")</f>
        <v>View</v>
      </c>
    </row>
    <row r="1412" spans="1:21" ht="20.399999999999999">
      <c r="A1412" s="6">
        <v>43441.524236111116</v>
      </c>
      <c r="B1412" s="7" t="str">
        <f>HYPERLINK("https://twitter.com/CONCHA_ZARAGOZA","@CONCHA_ZARAGOZA")</f>
        <v>@CONCHA_ZARAGOZA</v>
      </c>
      <c r="C1412" s="8" t="s">
        <v>5954</v>
      </c>
      <c r="D1412" s="9" t="s">
        <v>3314</v>
      </c>
      <c r="E1412" s="10" t="str">
        <f>HYPERLINK("https://twitter.com/CONCHA_ZARAGOZA/status/1071005125194473472","1071005125194473472")</f>
        <v>1071005125194473472</v>
      </c>
      <c r="F1412" s="12" t="s">
        <v>40</v>
      </c>
      <c r="G1412" s="11"/>
      <c r="H1412" s="11"/>
      <c r="I1412" s="13">
        <v>3</v>
      </c>
      <c r="J1412" s="13">
        <v>3</v>
      </c>
      <c r="K1412" s="14" t="str">
        <f t="shared" ref="K1412:K1413" si="246">HYPERLINK("http://twitter.com/download/android","Twitter for Android")</f>
        <v>Twitter for Android</v>
      </c>
      <c r="L1412" s="13">
        <v>3027</v>
      </c>
      <c r="M1412" s="13">
        <v>3369</v>
      </c>
      <c r="N1412" s="13">
        <v>80</v>
      </c>
      <c r="O1412" s="15"/>
      <c r="P1412" s="6">
        <v>40772.991435185184</v>
      </c>
      <c r="Q1412" s="18" t="s">
        <v>5955</v>
      </c>
      <c r="R1412" s="19" t="s">
        <v>5956</v>
      </c>
      <c r="S1412" s="11"/>
      <c r="T1412" s="11"/>
      <c r="U1412" s="10" t="str">
        <f>HYPERLINK("https://pbs.twimg.com/profile_images/881951172659204097/qzahdlGI.jpg","View")</f>
        <v>View</v>
      </c>
    </row>
    <row r="1413" spans="1:21" ht="61.2">
      <c r="A1413" s="6">
        <v>43441.5237037037</v>
      </c>
      <c r="B1413" s="7" t="str">
        <f>HYPERLINK("https://twitter.com/PBiosca66","@PBiosca66")</f>
        <v>@PBiosca66</v>
      </c>
      <c r="C1413" s="8" t="s">
        <v>2830</v>
      </c>
      <c r="D1413" s="9" t="s">
        <v>2831</v>
      </c>
      <c r="E1413" s="10" t="str">
        <f>HYPERLINK("https://twitter.com/PBiosca66/status/1071004929370832896","1071004929370832896")</f>
        <v>1071004929370832896</v>
      </c>
      <c r="F1413" s="12" t="s">
        <v>2833</v>
      </c>
      <c r="G1413" s="12" t="s">
        <v>2834</v>
      </c>
      <c r="H1413" s="11"/>
      <c r="I1413" s="13">
        <v>0</v>
      </c>
      <c r="J1413" s="13">
        <v>0</v>
      </c>
      <c r="K1413" s="14" t="str">
        <f t="shared" si="246"/>
        <v>Twitter for Android</v>
      </c>
      <c r="L1413" s="13">
        <v>144</v>
      </c>
      <c r="M1413" s="13">
        <v>187</v>
      </c>
      <c r="N1413" s="13">
        <v>7</v>
      </c>
      <c r="O1413" s="15"/>
      <c r="P1413" s="6">
        <v>40632.952835648146</v>
      </c>
      <c r="Q1413" s="18" t="s">
        <v>2835</v>
      </c>
      <c r="R1413" s="17"/>
      <c r="S1413" s="11"/>
      <c r="T1413" s="11"/>
      <c r="U1413" s="10" t="str">
        <f>HYPERLINK("https://pbs.twimg.com/profile_images/841310715713638400/kuXiMZj2.jpg","View")</f>
        <v>View</v>
      </c>
    </row>
    <row r="1414" spans="1:21" ht="30.6">
      <c r="A1414" s="6">
        <v>43441.522789351853</v>
      </c>
      <c r="B1414" s="7" t="str">
        <f>HYPERLINK("https://twitter.com/AitonaCabreado","@AitonaCabreado")</f>
        <v>@AitonaCabreado</v>
      </c>
      <c r="C1414" s="8" t="s">
        <v>5957</v>
      </c>
      <c r="D1414" s="9" t="s">
        <v>5958</v>
      </c>
      <c r="E1414" s="10" t="str">
        <f>HYPERLINK("https://twitter.com/AitonaCabreado/status/1071004599052591104","1071004599052591104")</f>
        <v>1071004599052591104</v>
      </c>
      <c r="F1414" s="12" t="s">
        <v>5959</v>
      </c>
      <c r="G1414" s="11"/>
      <c r="H1414" s="11"/>
      <c r="I1414" s="13">
        <v>0</v>
      </c>
      <c r="J1414" s="13">
        <v>0</v>
      </c>
      <c r="K1414" s="14" t="str">
        <f t="shared" ref="K1414:K1415" si="247">HYPERLINK("http://twitter.com","Twitter Web Client")</f>
        <v>Twitter Web Client</v>
      </c>
      <c r="L1414" s="13">
        <v>1398</v>
      </c>
      <c r="M1414" s="13">
        <v>990</v>
      </c>
      <c r="N1414" s="13">
        <v>21</v>
      </c>
      <c r="O1414" s="15"/>
      <c r="P1414" s="6">
        <v>41096.539826388893</v>
      </c>
      <c r="Q1414" s="18" t="s">
        <v>5960</v>
      </c>
      <c r="R1414" s="19" t="s">
        <v>5961</v>
      </c>
      <c r="S1414" s="11"/>
      <c r="T1414" s="11"/>
      <c r="U1414" s="10" t="str">
        <f>HYPERLINK("https://pbs.twimg.com/profile_images/1036207495444946944/89JG5auj.jpg","View")</f>
        <v>View</v>
      </c>
    </row>
    <row r="1415" spans="1:21" ht="51">
      <c r="A1415" s="6">
        <v>43441.52270833333</v>
      </c>
      <c r="B1415" s="7" t="str">
        <f>HYPERLINK("https://twitter.com/_JeanPaulMarat","@_JeanPaulMarat")</f>
        <v>@_JeanPaulMarat</v>
      </c>
      <c r="C1415" s="8" t="s">
        <v>5962</v>
      </c>
      <c r="D1415" s="9" t="s">
        <v>5963</v>
      </c>
      <c r="E1415" s="10" t="str">
        <f>HYPERLINK("https://twitter.com/_JeanPaulMarat/status/1071004570518777856","1071004570518777856")</f>
        <v>1071004570518777856</v>
      </c>
      <c r="F1415" s="11"/>
      <c r="G1415" s="11"/>
      <c r="H1415" s="11"/>
      <c r="I1415" s="13">
        <v>14</v>
      </c>
      <c r="J1415" s="13">
        <v>18</v>
      </c>
      <c r="K1415" s="14" t="str">
        <f t="shared" si="247"/>
        <v>Twitter Web Client</v>
      </c>
      <c r="L1415" s="13">
        <v>2228</v>
      </c>
      <c r="M1415" s="13">
        <v>354</v>
      </c>
      <c r="N1415" s="13">
        <v>28</v>
      </c>
      <c r="O1415" s="15"/>
      <c r="P1415" s="6">
        <v>42279.683194444442</v>
      </c>
      <c r="Q1415" s="11"/>
      <c r="R1415" s="19" t="s">
        <v>5964</v>
      </c>
      <c r="S1415" s="12" t="s">
        <v>5965</v>
      </c>
      <c r="T1415" s="11"/>
      <c r="U1415" s="10" t="str">
        <f>HYPERLINK("https://pbs.twimg.com/profile_images/947777821484703744/oQv9to7x.jpg","View")</f>
        <v>View</v>
      </c>
    </row>
    <row r="1416" spans="1:21" ht="51">
      <c r="A1416" s="6">
        <v>43441.521516203706</v>
      </c>
      <c r="B1416" s="7" t="str">
        <f>HYPERLINK("https://twitter.com/polilla7796","@polilla7796")</f>
        <v>@polilla7796</v>
      </c>
      <c r="C1416" s="8" t="s">
        <v>5966</v>
      </c>
      <c r="D1416" s="9" t="s">
        <v>5967</v>
      </c>
      <c r="E1416" s="10" t="str">
        <f>HYPERLINK("https://twitter.com/polilla7796/status/1071004137817604096","1071004137817604096")</f>
        <v>1071004137817604096</v>
      </c>
      <c r="F1416" s="11"/>
      <c r="G1416" s="12" t="s">
        <v>5968</v>
      </c>
      <c r="H1416" s="11"/>
      <c r="I1416" s="13">
        <v>0</v>
      </c>
      <c r="J1416" s="13">
        <v>0</v>
      </c>
      <c r="K1416" s="14" t="str">
        <f>HYPERLINK("http://twitter.com/download/android","Twitter for Android")</f>
        <v>Twitter for Android</v>
      </c>
      <c r="L1416" s="13">
        <v>63</v>
      </c>
      <c r="M1416" s="13">
        <v>196</v>
      </c>
      <c r="N1416" s="13">
        <v>0</v>
      </c>
      <c r="O1416" s="15"/>
      <c r="P1416" s="6">
        <v>40305.69054398148</v>
      </c>
      <c r="Q1416" s="18" t="s">
        <v>5969</v>
      </c>
      <c r="R1416" s="17"/>
      <c r="S1416" s="11"/>
      <c r="T1416" s="11"/>
      <c r="U1416" s="10" t="str">
        <f>HYPERLINK("https://pbs.twimg.com/profile_images/839638754092527617/1OQmCxuc.jpg","View")</f>
        <v>View</v>
      </c>
    </row>
    <row r="1417" spans="1:21" ht="51">
      <c r="A1417" s="6">
        <v>43441.520150462966</v>
      </c>
      <c r="B1417" s="7" t="str">
        <f>HYPERLINK("https://twitter.com/pilareyre","@pilareyre")</f>
        <v>@pilareyre</v>
      </c>
      <c r="C1417" s="8" t="s">
        <v>2838</v>
      </c>
      <c r="D1417" s="9" t="s">
        <v>2839</v>
      </c>
      <c r="E1417" s="10" t="str">
        <f>HYPERLINK("https://twitter.com/pilareyre/status/1071003641593643008","1071003641593643008")</f>
        <v>1071003641593643008</v>
      </c>
      <c r="F1417" s="18" t="s">
        <v>2840</v>
      </c>
      <c r="G1417" s="11"/>
      <c r="H1417" s="11"/>
      <c r="I1417" s="13">
        <v>0</v>
      </c>
      <c r="J1417" s="13">
        <v>9</v>
      </c>
      <c r="K1417" s="14" t="str">
        <f t="shared" ref="K1417:K1418" si="248">HYPERLINK("http://twitter.com/download/iphone","Twitter for iPhone")</f>
        <v>Twitter for iPhone</v>
      </c>
      <c r="L1417" s="13">
        <v>40450</v>
      </c>
      <c r="M1417" s="13">
        <v>1042</v>
      </c>
      <c r="N1417" s="13">
        <v>370</v>
      </c>
      <c r="O1417" s="15"/>
      <c r="P1417" s="6">
        <v>40621.837581018517</v>
      </c>
      <c r="Q1417" s="18" t="s">
        <v>1325</v>
      </c>
      <c r="R1417" s="19" t="s">
        <v>2843</v>
      </c>
      <c r="S1417" s="11"/>
      <c r="T1417" s="11"/>
      <c r="U1417" s="10" t="str">
        <f>HYPERLINK("https://pbs.twimg.com/profile_images/3362701198/b820aab2da67abe0f5a7690f803e9cc4.jpeg","View")</f>
        <v>View</v>
      </c>
    </row>
    <row r="1418" spans="1:21" ht="71.400000000000006">
      <c r="A1418" s="6">
        <v>43441.519467592589</v>
      </c>
      <c r="B1418" s="7" t="str">
        <f>HYPERLINK("https://twitter.com/Ekabo99","@Ekabo99")</f>
        <v>@Ekabo99</v>
      </c>
      <c r="C1418" s="8" t="s">
        <v>5970</v>
      </c>
      <c r="D1418" s="9" t="s">
        <v>5971</v>
      </c>
      <c r="E1418" s="10" t="str">
        <f>HYPERLINK("https://twitter.com/Ekabo99/status/1071003394700124160","1071003394700124160")</f>
        <v>1071003394700124160</v>
      </c>
      <c r="F1418" s="12" t="s">
        <v>5972</v>
      </c>
      <c r="G1418" s="12" t="s">
        <v>5973</v>
      </c>
      <c r="H1418" s="11"/>
      <c r="I1418" s="13">
        <v>0</v>
      </c>
      <c r="J1418" s="13">
        <v>0</v>
      </c>
      <c r="K1418" s="14" t="str">
        <f t="shared" si="248"/>
        <v>Twitter for iPhone</v>
      </c>
      <c r="L1418" s="13">
        <v>103</v>
      </c>
      <c r="M1418" s="13">
        <v>289</v>
      </c>
      <c r="N1418" s="13">
        <v>0</v>
      </c>
      <c r="O1418" s="15"/>
      <c r="P1418" s="6">
        <v>40670.691018518519</v>
      </c>
      <c r="Q1418" s="11"/>
      <c r="R1418" s="19" t="s">
        <v>5974</v>
      </c>
      <c r="S1418" s="11"/>
      <c r="T1418" s="11"/>
      <c r="U1418" s="10" t="str">
        <f>HYPERLINK("https://pbs.twimg.com/profile_images/980021721947394049/52XWjj4Y.jpg","View")</f>
        <v>View</v>
      </c>
    </row>
    <row r="1419" spans="1:21" ht="40.799999999999997">
      <c r="A1419" s="6">
        <v>43441.519212962958</v>
      </c>
      <c r="B1419" s="7" t="str">
        <f>HYPERLINK("https://twitter.com/MaraCAmor","@MaraCAmor")</f>
        <v>@MaraCAmor</v>
      </c>
      <c r="C1419" s="8" t="s">
        <v>5975</v>
      </c>
      <c r="D1419" s="9" t="s">
        <v>5976</v>
      </c>
      <c r="E1419" s="10" t="str">
        <f>HYPERLINK("https://twitter.com/MaraCAmor/status/1071003302014451712","1071003302014451712")</f>
        <v>1071003302014451712</v>
      </c>
      <c r="F1419" s="12" t="s">
        <v>2187</v>
      </c>
      <c r="G1419" s="11"/>
      <c r="H1419" s="11"/>
      <c r="I1419" s="13">
        <v>4</v>
      </c>
      <c r="J1419" s="13">
        <v>5</v>
      </c>
      <c r="K1419" s="14" t="str">
        <f t="shared" ref="K1419:K1420" si="249">HYPERLINK("http://twitter.com","Twitter Web Client")</f>
        <v>Twitter Web Client</v>
      </c>
      <c r="L1419" s="13">
        <v>9739</v>
      </c>
      <c r="M1419" s="13">
        <v>4007</v>
      </c>
      <c r="N1419" s="13">
        <v>122</v>
      </c>
      <c r="O1419" s="15"/>
      <c r="P1419" s="6">
        <v>40588.909803240742</v>
      </c>
      <c r="Q1419" s="18" t="s">
        <v>4667</v>
      </c>
      <c r="R1419" s="19" t="s">
        <v>5977</v>
      </c>
      <c r="S1419" s="12" t="s">
        <v>5978</v>
      </c>
      <c r="T1419" s="11"/>
      <c r="U1419" s="10" t="str">
        <f>HYPERLINK("https://pbs.twimg.com/profile_images/1068943105502732288/Qqhtw7cl.jpg","View")</f>
        <v>View</v>
      </c>
    </row>
    <row r="1420" spans="1:21" ht="20.399999999999999">
      <c r="A1420" s="6">
        <v>43441.519189814819</v>
      </c>
      <c r="B1420" s="7" t="str">
        <f>HYPERLINK("https://twitter.com/eliseopontes","@eliseopontes")</f>
        <v>@eliseopontes</v>
      </c>
      <c r="C1420" s="8" t="s">
        <v>5979</v>
      </c>
      <c r="D1420" s="9" t="s">
        <v>5980</v>
      </c>
      <c r="E1420" s="10" t="str">
        <f>HYPERLINK("https://twitter.com/eliseopontes/status/1071003295186079745","1071003295186079745")</f>
        <v>1071003295186079745</v>
      </c>
      <c r="F1420" s="12" t="s">
        <v>5981</v>
      </c>
      <c r="G1420" s="11"/>
      <c r="H1420" s="11"/>
      <c r="I1420" s="13">
        <v>0</v>
      </c>
      <c r="J1420" s="13">
        <v>0</v>
      </c>
      <c r="K1420" s="14" t="str">
        <f t="shared" si="249"/>
        <v>Twitter Web Client</v>
      </c>
      <c r="L1420" s="13">
        <v>31</v>
      </c>
      <c r="M1420" s="13">
        <v>37</v>
      </c>
      <c r="N1420" s="13">
        <v>1</v>
      </c>
      <c r="O1420" s="15"/>
      <c r="P1420" s="6">
        <v>41402.306655092594</v>
      </c>
      <c r="Q1420" s="18" t="s">
        <v>42</v>
      </c>
      <c r="R1420" s="19" t="s">
        <v>5982</v>
      </c>
      <c r="S1420" s="11"/>
      <c r="T1420" s="11"/>
      <c r="U1420" s="10" t="str">
        <f>HYPERLINK("https://pbs.twimg.com/profile_images/1037084324548567040/P80EY4wz.jpg","View")</f>
        <v>View</v>
      </c>
    </row>
    <row r="1421" spans="1:21" ht="40.799999999999997">
      <c r="A1421" s="6">
        <v>43441.518090277779</v>
      </c>
      <c r="B1421" s="7" t="str">
        <f>HYPERLINK("https://twitter.com/kepasa29","@kepasa29")</f>
        <v>@kepasa29</v>
      </c>
      <c r="C1421" s="8" t="s">
        <v>5983</v>
      </c>
      <c r="D1421" s="9" t="s">
        <v>5984</v>
      </c>
      <c r="E1421" s="10" t="str">
        <f>HYPERLINK("https://twitter.com/kepasa29/status/1071002898547568652","1071002898547568652")</f>
        <v>1071002898547568652</v>
      </c>
      <c r="F1421" s="12" t="s">
        <v>2673</v>
      </c>
      <c r="G1421" s="11"/>
      <c r="H1421" s="11"/>
      <c r="I1421" s="13">
        <v>0</v>
      </c>
      <c r="J1421" s="13">
        <v>0</v>
      </c>
      <c r="K1421" s="14" t="str">
        <f t="shared" ref="K1421:K1425" si="250">HYPERLINK("http://twitter.com/download/android","Twitter for Android")</f>
        <v>Twitter for Android</v>
      </c>
      <c r="L1421" s="13">
        <v>2369</v>
      </c>
      <c r="M1421" s="13">
        <v>2139</v>
      </c>
      <c r="N1421" s="13">
        <v>269</v>
      </c>
      <c r="O1421" s="15"/>
      <c r="P1421" s="6">
        <v>40477.875601851854</v>
      </c>
      <c r="Q1421" s="18" t="s">
        <v>5960</v>
      </c>
      <c r="R1421" s="19" t="s">
        <v>5985</v>
      </c>
      <c r="S1421" s="12" t="s">
        <v>5986</v>
      </c>
      <c r="T1421" s="11"/>
      <c r="U1421" s="10" t="str">
        <f>HYPERLINK("https://pbs.twimg.com/profile_images/3488850029/eded4fa0d96179f09870863bf11b1f8a.jpeg","View")</f>
        <v>View</v>
      </c>
    </row>
    <row r="1422" spans="1:21" ht="40.799999999999997">
      <c r="A1422" s="6">
        <v>43441.518055555556</v>
      </c>
      <c r="B1422" s="7" t="str">
        <f>HYPERLINK("https://twitter.com/PODEMOS9bb","@PODEMOS9bb")</f>
        <v>@PODEMOS9bb</v>
      </c>
      <c r="C1422" s="8" t="s">
        <v>2844</v>
      </c>
      <c r="D1422" s="9" t="s">
        <v>2845</v>
      </c>
      <c r="E1422" s="10" t="str">
        <f>HYPERLINK("https://twitter.com/PODEMOS9bb/status/1071002884672774144","1071002884672774144")</f>
        <v>1071002884672774144</v>
      </c>
      <c r="F1422" s="11"/>
      <c r="G1422" s="12" t="s">
        <v>2848</v>
      </c>
      <c r="H1422" s="11"/>
      <c r="I1422" s="13">
        <v>0</v>
      </c>
      <c r="J1422" s="13">
        <v>1</v>
      </c>
      <c r="K1422" s="14" t="str">
        <f t="shared" si="250"/>
        <v>Twitter for Android</v>
      </c>
      <c r="L1422" s="13">
        <v>1010</v>
      </c>
      <c r="M1422" s="13">
        <v>742</v>
      </c>
      <c r="N1422" s="13">
        <v>21</v>
      </c>
      <c r="O1422" s="15"/>
      <c r="P1422" s="6">
        <v>41823.859189814815</v>
      </c>
      <c r="Q1422" s="18" t="s">
        <v>2849</v>
      </c>
      <c r="R1422" s="19" t="s">
        <v>2850</v>
      </c>
      <c r="S1422" s="12" t="s">
        <v>2851</v>
      </c>
      <c r="T1422" s="11"/>
      <c r="U1422" s="10" t="str">
        <f>HYPERLINK("https://pbs.twimg.com/profile_images/800706923624599553/uEv6g1PQ.jpg","View")</f>
        <v>View</v>
      </c>
    </row>
    <row r="1423" spans="1:21" ht="13.2">
      <c r="A1423" s="6">
        <v>43441.516527777778</v>
      </c>
      <c r="B1423" s="7" t="str">
        <f>HYPERLINK("https://twitter.com/Santi_ABASCAL","@Santi_ABASCAL")</f>
        <v>@Santi_ABASCAL</v>
      </c>
      <c r="C1423" s="8" t="s">
        <v>4596</v>
      </c>
      <c r="D1423" s="9" t="s">
        <v>5987</v>
      </c>
      <c r="E1423" s="10" t="str">
        <f>HYPERLINK("https://twitter.com/Santi_ABASCAL/status/1071002328583626759","1071002328583626759")</f>
        <v>1071002328583626759</v>
      </c>
      <c r="F1423" s="12" t="s">
        <v>1955</v>
      </c>
      <c r="G1423" s="11"/>
      <c r="H1423" s="11"/>
      <c r="I1423" s="13">
        <v>1583</v>
      </c>
      <c r="J1423" s="13">
        <v>3023</v>
      </c>
      <c r="K1423" s="14" t="str">
        <f t="shared" si="250"/>
        <v>Twitter for Android</v>
      </c>
      <c r="L1423" s="13">
        <v>136296</v>
      </c>
      <c r="M1423" s="13">
        <v>3909</v>
      </c>
      <c r="N1423" s="13">
        <v>965</v>
      </c>
      <c r="O1423" s="16" t="s">
        <v>25</v>
      </c>
      <c r="P1423" s="6">
        <v>40606.716446759259</v>
      </c>
      <c r="Q1423" s="18" t="s">
        <v>1682</v>
      </c>
      <c r="R1423" s="19" t="s">
        <v>4600</v>
      </c>
      <c r="S1423" s="12" t="s">
        <v>4601</v>
      </c>
      <c r="T1423" s="11"/>
      <c r="U1423" s="10" t="str">
        <f>HYPERLINK("https://pbs.twimg.com/profile_images/1010488787686879232/2CnqYKlD.jpg","View")</f>
        <v>View</v>
      </c>
    </row>
    <row r="1424" spans="1:21" ht="40.799999999999997">
      <c r="A1424" s="6">
        <v>43441.515914351854</v>
      </c>
      <c r="B1424" s="7" t="str">
        <f>HYPERLINK("https://twitter.com/DavilitoVerde","@DavilitoVerde")</f>
        <v>@DavilitoVerde</v>
      </c>
      <c r="C1424" s="8" t="s">
        <v>5988</v>
      </c>
      <c r="D1424" s="9" t="s">
        <v>5989</v>
      </c>
      <c r="E1424" s="10" t="str">
        <f>HYPERLINK("https://twitter.com/DavilitoVerde/status/1071002107690582016","1071002107690582016")</f>
        <v>1071002107690582016</v>
      </c>
      <c r="F1424" s="11"/>
      <c r="G1424" s="11"/>
      <c r="H1424" s="11"/>
      <c r="I1424" s="13">
        <v>0</v>
      </c>
      <c r="J1424" s="13">
        <v>0</v>
      </c>
      <c r="K1424" s="14" t="str">
        <f t="shared" si="250"/>
        <v>Twitter for Android</v>
      </c>
      <c r="L1424" s="13">
        <v>46</v>
      </c>
      <c r="M1424" s="13">
        <v>85</v>
      </c>
      <c r="N1424" s="13">
        <v>0</v>
      </c>
      <c r="O1424" s="15"/>
      <c r="P1424" s="6">
        <v>43439.005185185189</v>
      </c>
      <c r="Q1424" s="18" t="s">
        <v>256</v>
      </c>
      <c r="R1424" s="19" t="s">
        <v>5990</v>
      </c>
      <c r="S1424" s="11"/>
      <c r="T1424" s="11"/>
      <c r="U1424" s="10" t="str">
        <f>HYPERLINK("https://pbs.twimg.com/profile_images/1070693349819064321/VxSrkJ4x.jpg","View")</f>
        <v>View</v>
      </c>
    </row>
    <row r="1425" spans="1:21" ht="51">
      <c r="A1425" s="6">
        <v>43441.515902777777</v>
      </c>
      <c r="B1425" s="7" t="str">
        <f>HYPERLINK("https://twitter.com/Juan_CarlosESP","@Juan_CarlosESP")</f>
        <v>@Juan_CarlosESP</v>
      </c>
      <c r="C1425" s="8" t="s">
        <v>4532</v>
      </c>
      <c r="D1425" s="9" t="s">
        <v>5991</v>
      </c>
      <c r="E1425" s="10" t="str">
        <f>HYPERLINK("https://twitter.com/Juan_CarlosESP/status/1071002104452575234","1071002104452575234")</f>
        <v>1071002104452575234</v>
      </c>
      <c r="F1425" s="11"/>
      <c r="G1425" s="11"/>
      <c r="H1425" s="11"/>
      <c r="I1425" s="13">
        <v>0</v>
      </c>
      <c r="J1425" s="13">
        <v>0</v>
      </c>
      <c r="K1425" s="14" t="str">
        <f t="shared" si="250"/>
        <v>Twitter for Android</v>
      </c>
      <c r="L1425" s="13">
        <v>2168</v>
      </c>
      <c r="M1425" s="13">
        <v>1877</v>
      </c>
      <c r="N1425" s="13">
        <v>41</v>
      </c>
      <c r="O1425" s="15"/>
      <c r="P1425" s="6">
        <v>40652.774340277778</v>
      </c>
      <c r="Q1425" s="18" t="s">
        <v>4536</v>
      </c>
      <c r="R1425" s="19" t="s">
        <v>4537</v>
      </c>
      <c r="S1425" s="12" t="s">
        <v>4538</v>
      </c>
      <c r="T1425" s="11"/>
      <c r="U1425" s="10" t="str">
        <f>HYPERLINK("https://pbs.twimg.com/profile_images/1061660233406275584/HhlVaqBN.jpg","View")</f>
        <v>View</v>
      </c>
    </row>
    <row r="1426" spans="1:21" ht="40.799999999999997">
      <c r="A1426" s="6">
        <v>43441.515451388885</v>
      </c>
      <c r="B1426" s="7" t="str">
        <f>HYPERLINK("https://twitter.com/Antonio_Reolid","@Antonio_Reolid")</f>
        <v>@Antonio_Reolid</v>
      </c>
      <c r="C1426" s="8" t="s">
        <v>3739</v>
      </c>
      <c r="D1426" s="9" t="s">
        <v>5992</v>
      </c>
      <c r="E1426" s="10" t="str">
        <f>HYPERLINK("https://twitter.com/Antonio_Reolid/status/1071001939167584263","1071001939167584263")</f>
        <v>1071001939167584263</v>
      </c>
      <c r="F1426" s="11"/>
      <c r="G1426" s="12" t="s">
        <v>5993</v>
      </c>
      <c r="H1426" s="11"/>
      <c r="I1426" s="13">
        <v>1</v>
      </c>
      <c r="J1426" s="13">
        <v>2</v>
      </c>
      <c r="K1426" s="14" t="str">
        <f>HYPERLINK("http://twitter.com/download/iphone","Twitter for iPhone")</f>
        <v>Twitter for iPhone</v>
      </c>
      <c r="L1426" s="13">
        <v>761</v>
      </c>
      <c r="M1426" s="13">
        <v>3299</v>
      </c>
      <c r="N1426" s="13">
        <v>1</v>
      </c>
      <c r="O1426" s="15"/>
      <c r="P1426" s="6">
        <v>43326.708773148144</v>
      </c>
      <c r="Q1426" s="18" t="s">
        <v>3743</v>
      </c>
      <c r="R1426" s="19" t="s">
        <v>3744</v>
      </c>
      <c r="S1426" s="11"/>
      <c r="T1426" s="11"/>
      <c r="U1426" s="10" t="str">
        <f>HYPERLINK("https://pbs.twimg.com/profile_images/1029382993788502016/0uQc2anI.jpg","View")</f>
        <v>View</v>
      </c>
    </row>
    <row r="1427" spans="1:21" ht="51">
      <c r="A1427" s="6">
        <v>43441.515138888892</v>
      </c>
      <c r="B1427" s="7" t="str">
        <f>HYPERLINK("https://twitter.com/twiterdeelfakir","@twiterdeelfakir")</f>
        <v>@twiterdeelfakir</v>
      </c>
      <c r="C1427" s="8" t="s">
        <v>1808</v>
      </c>
      <c r="D1427" s="9" t="s">
        <v>2854</v>
      </c>
      <c r="E1427" s="10" t="str">
        <f>HYPERLINK("https://twitter.com/twiterdeelfakir/status/1071001826118549505","1071001826118549505")</f>
        <v>1071001826118549505</v>
      </c>
      <c r="F1427" s="12" t="s">
        <v>2855</v>
      </c>
      <c r="G1427" s="11"/>
      <c r="H1427" s="11"/>
      <c r="I1427" s="13">
        <v>13</v>
      </c>
      <c r="J1427" s="13">
        <v>10</v>
      </c>
      <c r="K1427" s="14" t="str">
        <f>HYPERLINK("http://twitter.com/download/android","Twitter for Android")</f>
        <v>Twitter for Android</v>
      </c>
      <c r="L1427" s="13">
        <v>5472</v>
      </c>
      <c r="M1427" s="13">
        <v>5206</v>
      </c>
      <c r="N1427" s="13">
        <v>158</v>
      </c>
      <c r="O1427" s="15"/>
      <c r="P1427" s="6">
        <v>40306.563622685186</v>
      </c>
      <c r="Q1427" s="11"/>
      <c r="R1427" s="19" t="s">
        <v>1811</v>
      </c>
      <c r="S1427" s="11"/>
      <c r="T1427" s="11"/>
      <c r="U1427" s="10" t="str">
        <f>HYPERLINK("https://pbs.twimg.com/profile_images/1063432165164285954/TCn4sdvu.jpg","View")</f>
        <v>View</v>
      </c>
    </row>
    <row r="1428" spans="1:21" ht="30.6">
      <c r="A1428" s="6">
        <v>43441.514884259261</v>
      </c>
      <c r="B1428" s="7" t="str">
        <f>HYPERLINK("https://twitter.com/paco30317390","@paco30317390")</f>
        <v>@paco30317390</v>
      </c>
      <c r="C1428" s="8" t="s">
        <v>2856</v>
      </c>
      <c r="D1428" s="9" t="s">
        <v>2857</v>
      </c>
      <c r="E1428" s="10" t="str">
        <f>HYPERLINK("https://twitter.com/paco30317390/status/1071001733969661952","1071001733969661952")</f>
        <v>1071001733969661952</v>
      </c>
      <c r="F1428" s="11"/>
      <c r="G1428" s="12" t="s">
        <v>2860</v>
      </c>
      <c r="H1428" s="11"/>
      <c r="I1428" s="13">
        <v>1</v>
      </c>
      <c r="J1428" s="13">
        <v>3</v>
      </c>
      <c r="K1428" s="14" t="str">
        <f>HYPERLINK("http://twitter.com","Twitter Web Client")</f>
        <v>Twitter Web Client</v>
      </c>
      <c r="L1428" s="13">
        <v>1</v>
      </c>
      <c r="M1428" s="13">
        <v>0</v>
      </c>
      <c r="N1428" s="13">
        <v>0</v>
      </c>
      <c r="O1428" s="15"/>
      <c r="P1428" s="6">
        <v>43437.00513888889</v>
      </c>
      <c r="Q1428" s="11"/>
      <c r="R1428" s="17"/>
      <c r="S1428" s="11"/>
      <c r="T1428" s="11"/>
      <c r="U1428" s="10" t="str">
        <f>HYPERLINK("https://pbs.twimg.com/profile_images/1069371097760579584/JzRysfuF.jpg","View")</f>
        <v>View</v>
      </c>
    </row>
    <row r="1429" spans="1:21" ht="51">
      <c r="A1429" s="6">
        <v>43441.51353009259</v>
      </c>
      <c r="B1429" s="7" t="str">
        <f>HYPERLINK("https://twitter.com/buen_ppero","@buen_ppero")</f>
        <v>@buen_ppero</v>
      </c>
      <c r="C1429" s="8" t="s">
        <v>2864</v>
      </c>
      <c r="D1429" s="9" t="s">
        <v>2865</v>
      </c>
      <c r="E1429" s="10" t="str">
        <f>HYPERLINK("https://twitter.com/buen_ppero/status/1071001244972519425","1071001244972519425")</f>
        <v>1071001244972519425</v>
      </c>
      <c r="F1429" s="11"/>
      <c r="G1429" s="11"/>
      <c r="H1429" s="11"/>
      <c r="I1429" s="13">
        <v>0</v>
      </c>
      <c r="J1429" s="13">
        <v>1</v>
      </c>
      <c r="K1429" s="14" t="str">
        <f>HYPERLINK("http://twitter.com/download/iphone","Twitter for iPhone")</f>
        <v>Twitter for iPhone</v>
      </c>
      <c r="L1429" s="13">
        <v>22</v>
      </c>
      <c r="M1429" s="13">
        <v>105</v>
      </c>
      <c r="N1429" s="13">
        <v>1</v>
      </c>
      <c r="O1429" s="15"/>
      <c r="P1429" s="6">
        <v>42707.003368055557</v>
      </c>
      <c r="Q1429" s="18" t="s">
        <v>41</v>
      </c>
      <c r="R1429" s="19" t="s">
        <v>2867</v>
      </c>
      <c r="S1429" s="11"/>
      <c r="T1429" s="11"/>
      <c r="U1429" s="10" t="str">
        <f>HYPERLINK("https://pbs.twimg.com/profile_images/804826205363011588/_nTm3teb.jpg","View")</f>
        <v>View</v>
      </c>
    </row>
    <row r="1430" spans="1:21" ht="30.6">
      <c r="A1430" s="6">
        <v>43441.511388888888</v>
      </c>
      <c r="B1430" s="7" t="str">
        <f>HYPERLINK("https://twitter.com/debate_es","@debate_es")</f>
        <v>@debate_es</v>
      </c>
      <c r="C1430" s="22" t="s">
        <v>1865</v>
      </c>
      <c r="D1430" s="9" t="s">
        <v>4517</v>
      </c>
      <c r="E1430" s="10" t="str">
        <f>HYPERLINK("https://twitter.com/debate_es/status/1071000467512156160","1071000467512156160")</f>
        <v>1071000467512156160</v>
      </c>
      <c r="F1430" s="12" t="s">
        <v>1955</v>
      </c>
      <c r="G1430" s="11"/>
      <c r="H1430" s="11"/>
      <c r="I1430" s="13">
        <v>2</v>
      </c>
      <c r="J1430" s="13">
        <v>0</v>
      </c>
      <c r="K1430" s="14" t="str">
        <f>HYPERLINK("https://about.twitter.com/products/tweetdeck","TweetDeck")</f>
        <v>TweetDeck</v>
      </c>
      <c r="L1430" s="13">
        <v>1990</v>
      </c>
      <c r="M1430" s="13">
        <v>0</v>
      </c>
      <c r="N1430" s="13">
        <v>26</v>
      </c>
      <c r="O1430" s="15"/>
      <c r="P1430" s="6">
        <v>43258.540625000001</v>
      </c>
      <c r="Q1430" s="11"/>
      <c r="R1430" s="19" t="s">
        <v>1871</v>
      </c>
      <c r="S1430" s="12" t="s">
        <v>1872</v>
      </c>
      <c r="T1430" s="11"/>
      <c r="U1430" s="10" t="str">
        <f>HYPERLINK("https://pbs.twimg.com/profile_images/1022497434029699073/kza_Om7G.jpg","View")</f>
        <v>View</v>
      </c>
    </row>
    <row r="1431" spans="1:21" ht="51">
      <c r="A1431" s="6">
        <v>43441.511203703703</v>
      </c>
      <c r="B1431" s="7" t="str">
        <f>HYPERLINK("https://twitter.com/PdeSamos","@PdeSamos")</f>
        <v>@PdeSamos</v>
      </c>
      <c r="C1431" s="8" t="s">
        <v>1432</v>
      </c>
      <c r="D1431" s="9" t="s">
        <v>5994</v>
      </c>
      <c r="E1431" s="10" t="str">
        <f>HYPERLINK("https://twitter.com/PdeSamos/status/1071000401028231169","1071000401028231169")</f>
        <v>1071000401028231169</v>
      </c>
      <c r="F1431" s="11"/>
      <c r="G1431" s="11"/>
      <c r="H1431" s="11"/>
      <c r="I1431" s="13">
        <v>0</v>
      </c>
      <c r="J1431" s="13">
        <v>0</v>
      </c>
      <c r="K1431" s="14" t="str">
        <f>HYPERLINK("http://republico.ddns.net","App Libertad PdeSamos")</f>
        <v>App Libertad PdeSamos</v>
      </c>
      <c r="L1431" s="13">
        <v>5398</v>
      </c>
      <c r="M1431" s="13">
        <v>5441</v>
      </c>
      <c r="N1431" s="13">
        <v>12</v>
      </c>
      <c r="O1431" s="15"/>
      <c r="P1431" s="6">
        <v>42889.820567129631</v>
      </c>
      <c r="Q1431" s="18" t="s">
        <v>1336</v>
      </c>
      <c r="R1431" s="19" t="s">
        <v>1438</v>
      </c>
      <c r="S1431" s="11"/>
      <c r="T1431" s="11"/>
      <c r="U1431" s="10" t="str">
        <f>HYPERLINK("https://pbs.twimg.com/profile_images/871063742003511296/xK2IYbrO.jpg","View")</f>
        <v>View</v>
      </c>
    </row>
    <row r="1432" spans="1:21" ht="61.2">
      <c r="A1432" s="6">
        <v>43441.510949074072</v>
      </c>
      <c r="B1432" s="7" t="str">
        <f>HYPERLINK("https://twitter.com/Maseras4","@Maseras4")</f>
        <v>@Maseras4</v>
      </c>
      <c r="C1432" s="8" t="s">
        <v>2868</v>
      </c>
      <c r="D1432" s="9" t="s">
        <v>2869</v>
      </c>
      <c r="E1432" s="10" t="str">
        <f>HYPERLINK("https://twitter.com/Maseras4/status/1071000308363526144","1071000308363526144")</f>
        <v>1071000308363526144</v>
      </c>
      <c r="F1432" s="18" t="s">
        <v>2873</v>
      </c>
      <c r="G1432" s="11"/>
      <c r="H1432" s="11"/>
      <c r="I1432" s="13">
        <v>0</v>
      </c>
      <c r="J1432" s="13">
        <v>0</v>
      </c>
      <c r="K1432" s="14" t="str">
        <f>HYPERLINK("http://twitter.com","Twitter Web Client")</f>
        <v>Twitter Web Client</v>
      </c>
      <c r="L1432" s="13">
        <v>13</v>
      </c>
      <c r="M1432" s="13">
        <v>78</v>
      </c>
      <c r="N1432" s="13">
        <v>0</v>
      </c>
      <c r="O1432" s="15"/>
      <c r="P1432" s="6">
        <v>43440.721666666665</v>
      </c>
      <c r="Q1432" s="18" t="s">
        <v>2874</v>
      </c>
      <c r="R1432" s="19" t="s">
        <v>2875</v>
      </c>
      <c r="S1432" s="11"/>
      <c r="T1432" s="11"/>
      <c r="U1432" s="10" t="str">
        <f>HYPERLINK("https://pbs.twimg.com/profile_images/1070715151366701057/VOBSjX3h.jpg","View")</f>
        <v>View</v>
      </c>
    </row>
    <row r="1433" spans="1:21" ht="51">
      <c r="A1433" s="6">
        <v>43441.509675925925</v>
      </c>
      <c r="B1433" s="7" t="str">
        <f>HYPERLINK("https://twitter.com/AdeSiracusa","@AdeSiracusa")</f>
        <v>@AdeSiracusa</v>
      </c>
      <c r="C1433" s="8" t="s">
        <v>682</v>
      </c>
      <c r="D1433" s="9" t="s">
        <v>5995</v>
      </c>
      <c r="E1433" s="10" t="str">
        <f>HYPERLINK("https://twitter.com/AdeSiracusa/status/1070999845995982848","1070999845995982848")</f>
        <v>1070999845995982848</v>
      </c>
      <c r="F1433" s="11"/>
      <c r="G1433" s="11"/>
      <c r="H1433" s="11"/>
      <c r="I1433" s="13">
        <v>0</v>
      </c>
      <c r="J1433" s="13">
        <v>0</v>
      </c>
      <c r="K1433" s="14" t="str">
        <f>HYPERLINK("http://www.republicosvenezuela.com/","AdeSiracusa")</f>
        <v>AdeSiracusa</v>
      </c>
      <c r="L1433" s="13">
        <v>4091</v>
      </c>
      <c r="M1433" s="13">
        <v>4122</v>
      </c>
      <c r="N1433" s="13">
        <v>12</v>
      </c>
      <c r="O1433" s="15"/>
      <c r="P1433" s="6">
        <v>42958.576388888891</v>
      </c>
      <c r="Q1433" s="18" t="s">
        <v>689</v>
      </c>
      <c r="R1433" s="19" t="s">
        <v>690</v>
      </c>
      <c r="S1433" s="11"/>
      <c r="T1433" s="11"/>
      <c r="U1433" s="10" t="str">
        <f>HYPERLINK("https://pbs.twimg.com/profile_images/895978354591105024/x2wNXrPl.jpg","View")</f>
        <v>View</v>
      </c>
    </row>
    <row r="1434" spans="1:21" ht="20.399999999999999">
      <c r="A1434" s="6">
        <v>43441.50916666667</v>
      </c>
      <c r="B1434" s="7" t="str">
        <f>HYPERLINK("https://twitter.com/fb_mpc","@fb_mpc")</f>
        <v>@fb_mpc</v>
      </c>
      <c r="C1434" s="8" t="s">
        <v>5996</v>
      </c>
      <c r="D1434" s="9" t="s">
        <v>5997</v>
      </c>
      <c r="E1434" s="10" t="str">
        <f>HYPERLINK("https://twitter.com/fb_mpc/status/1070999663887728640","1070999663887728640")</f>
        <v>1070999663887728640</v>
      </c>
      <c r="F1434" s="12" t="s">
        <v>5998</v>
      </c>
      <c r="G1434" s="11"/>
      <c r="H1434" s="11"/>
      <c r="I1434" s="13">
        <v>0</v>
      </c>
      <c r="J1434" s="13">
        <v>0</v>
      </c>
      <c r="K1434" s="14" t="str">
        <f>HYPERLINK("http://www.facebook.com/twitter","Facebook")</f>
        <v>Facebook</v>
      </c>
      <c r="L1434" s="13">
        <v>37</v>
      </c>
      <c r="M1434" s="13">
        <v>125</v>
      </c>
      <c r="N1434" s="13">
        <v>1</v>
      </c>
      <c r="O1434" s="15"/>
      <c r="P1434" s="6">
        <v>40885.524247685185</v>
      </c>
      <c r="Q1434" s="18" t="s">
        <v>41</v>
      </c>
      <c r="R1434" s="17"/>
      <c r="S1434" s="12" t="s">
        <v>5999</v>
      </c>
      <c r="T1434" s="11"/>
      <c r="U1434" s="10" t="str">
        <f>HYPERLINK("https://pbs.twimg.com/profile_images/938327611134095360/IiICw2M0.jpg","View")</f>
        <v>View</v>
      </c>
    </row>
    <row r="1435" spans="1:21" ht="20.399999999999999">
      <c r="A1435" s="6">
        <v>43441.508703703701</v>
      </c>
      <c r="B1435" s="7" t="str">
        <f>HYPERLINK("https://twitter.com/dongandumbas","@dongandumbas")</f>
        <v>@dongandumbas</v>
      </c>
      <c r="C1435" s="8" t="s">
        <v>6000</v>
      </c>
      <c r="D1435" s="9" t="s">
        <v>6001</v>
      </c>
      <c r="E1435" s="10" t="str">
        <f>HYPERLINK("https://twitter.com/dongandumbas/status/1070999494840467456","1070999494840467456")</f>
        <v>1070999494840467456</v>
      </c>
      <c r="F1435" s="11"/>
      <c r="G1435" s="11"/>
      <c r="H1435" s="11"/>
      <c r="I1435" s="13">
        <v>1</v>
      </c>
      <c r="J1435" s="13">
        <v>3</v>
      </c>
      <c r="K1435" s="14" t="str">
        <f>HYPERLINK("https://mobile.twitter.com","Twitter Lite")</f>
        <v>Twitter Lite</v>
      </c>
      <c r="L1435" s="13">
        <v>335</v>
      </c>
      <c r="M1435" s="13">
        <v>371</v>
      </c>
      <c r="N1435" s="13">
        <v>5</v>
      </c>
      <c r="O1435" s="15"/>
      <c r="P1435" s="6">
        <v>41627.026655092595</v>
      </c>
      <c r="Q1435" s="18" t="s">
        <v>307</v>
      </c>
      <c r="R1435" s="19" t="s">
        <v>6002</v>
      </c>
      <c r="S1435" s="11"/>
      <c r="T1435" s="11"/>
      <c r="U1435" s="10" t="str">
        <f>HYPERLINK("https://pbs.twimg.com/profile_images/1037649664538013696/Zfvy5Igt.jpg","View")</f>
        <v>View</v>
      </c>
    </row>
    <row r="1436" spans="1:21" ht="51">
      <c r="A1436" s="6">
        <v>43441.508344907408</v>
      </c>
      <c r="B1436" s="7" t="str">
        <f>HYPERLINK("https://twitter.com/PBMarbeMalaga","@PBMarbeMalaga")</f>
        <v>@PBMarbeMalaga</v>
      </c>
      <c r="C1436" s="8" t="s">
        <v>1635</v>
      </c>
      <c r="D1436" s="9" t="s">
        <v>6003</v>
      </c>
      <c r="E1436" s="10" t="str">
        <f>HYPERLINK("https://twitter.com/PBMarbeMalaga/status/1070999363487436800","1070999363487436800")</f>
        <v>1070999363487436800</v>
      </c>
      <c r="F1436" s="11"/>
      <c r="G1436" s="11"/>
      <c r="H1436" s="11"/>
      <c r="I1436" s="13">
        <v>0</v>
      </c>
      <c r="J1436" s="13">
        <v>0</v>
      </c>
      <c r="K1436" s="14" t="str">
        <f>HYPERLINK("https://javitang.ddns.net","PBMarbeMalaga")</f>
        <v>PBMarbeMalaga</v>
      </c>
      <c r="L1436" s="13">
        <v>1316</v>
      </c>
      <c r="M1436" s="13">
        <v>1358</v>
      </c>
      <c r="N1436" s="13">
        <v>2</v>
      </c>
      <c r="O1436" s="15"/>
      <c r="P1436" s="6">
        <v>43149.814074074078</v>
      </c>
      <c r="Q1436" s="18" t="s">
        <v>1637</v>
      </c>
      <c r="R1436" s="19" t="s">
        <v>1638</v>
      </c>
      <c r="S1436" s="11"/>
      <c r="T1436" s="11"/>
      <c r="U1436" s="10" t="str">
        <f>HYPERLINK("https://pbs.twimg.com/profile_images/965296691145531392/sAFnfUu2.jpg","View")</f>
        <v>View</v>
      </c>
    </row>
    <row r="1437" spans="1:21" ht="20.399999999999999">
      <c r="A1437" s="6">
        <v>43441.507789351846</v>
      </c>
      <c r="B1437" s="7" t="str">
        <f>HYPERLINK("https://twitter.com/laopideisi","@laopideisi")</f>
        <v>@laopideisi</v>
      </c>
      <c r="C1437" s="8" t="s">
        <v>6004</v>
      </c>
      <c r="D1437" s="9" t="s">
        <v>6005</v>
      </c>
      <c r="E1437" s="10" t="str">
        <f>HYPERLINK("https://twitter.com/laopideisi/status/1070999164996210689","1070999164996210689")</f>
        <v>1070999164996210689</v>
      </c>
      <c r="F1437" s="11"/>
      <c r="G1437" s="12" t="s">
        <v>6006</v>
      </c>
      <c r="H1437" s="11"/>
      <c r="I1437" s="13">
        <v>1</v>
      </c>
      <c r="J1437" s="13">
        <v>0</v>
      </c>
      <c r="K1437" s="14" t="str">
        <f>HYPERLINK("http://twitter.com/download/android","Twitter for Android")</f>
        <v>Twitter for Android</v>
      </c>
      <c r="L1437" s="13">
        <v>1093</v>
      </c>
      <c r="M1437" s="13">
        <v>1490</v>
      </c>
      <c r="N1437" s="13">
        <v>3</v>
      </c>
      <c r="O1437" s="15"/>
      <c r="P1437" s="6">
        <v>40647.878692129627</v>
      </c>
      <c r="Q1437" s="11"/>
      <c r="R1437" s="19" t="s">
        <v>6007</v>
      </c>
      <c r="S1437" s="11"/>
      <c r="T1437" s="11"/>
      <c r="U1437" s="10" t="str">
        <f>HYPERLINK("https://pbs.twimg.com/profile_images/809075550031671296/gCjJpqJ3.jpg","View")</f>
        <v>View</v>
      </c>
    </row>
    <row r="1438" spans="1:21" ht="81.599999999999994">
      <c r="A1438" s="6">
        <v>43441.507511574076</v>
      </c>
      <c r="B1438" s="7" t="str">
        <f>HYPERLINK("https://twitter.com/surmalaga","@surmalaga")</f>
        <v>@surmalaga</v>
      </c>
      <c r="C1438" s="8" t="s">
        <v>2581</v>
      </c>
      <c r="D1438" s="9" t="s">
        <v>2876</v>
      </c>
      <c r="E1438" s="10" t="str">
        <f>HYPERLINK("https://twitter.com/surmalaga/status/1070999064492343296","1070999064492343296")</f>
        <v>1070999064492343296</v>
      </c>
      <c r="F1438" s="12" t="s">
        <v>2877</v>
      </c>
      <c r="G1438" s="12" t="s">
        <v>2878</v>
      </c>
      <c r="H1438" s="11"/>
      <c r="I1438" s="13">
        <v>0</v>
      </c>
      <c r="J1438" s="13">
        <v>0</v>
      </c>
      <c r="K1438" s="14" t="str">
        <f t="shared" ref="K1438:K1439" si="251">HYPERLINK("http://twitter.com/download/iphone","Twitter for iPhone")</f>
        <v>Twitter for iPhone</v>
      </c>
      <c r="L1438" s="13">
        <v>128</v>
      </c>
      <c r="M1438" s="13">
        <v>448</v>
      </c>
      <c r="N1438" s="13">
        <v>2</v>
      </c>
      <c r="O1438" s="15"/>
      <c r="P1438" s="6">
        <v>40645.684872685189</v>
      </c>
      <c r="Q1438" s="11"/>
      <c r="R1438" s="17"/>
      <c r="S1438" s="11"/>
      <c r="T1438" s="11"/>
      <c r="U1438" s="10" t="str">
        <f>HYPERLINK("https://pbs.twimg.com/profile_images/1592231190/salar_de_uyuni_2.jpg","View")</f>
        <v>View</v>
      </c>
    </row>
    <row r="1439" spans="1:21" ht="40.799999999999997">
      <c r="A1439" s="6">
        <v>43441.506944444445</v>
      </c>
      <c r="B1439" s="7" t="str">
        <f>HYPERLINK("https://twitter.com/elparrus","@elparrus")</f>
        <v>@elparrus</v>
      </c>
      <c r="C1439" s="8" t="s">
        <v>2880</v>
      </c>
      <c r="D1439" s="9" t="s">
        <v>2881</v>
      </c>
      <c r="E1439" s="10" t="str">
        <f>HYPERLINK("https://twitter.com/elparrus/status/1070998859344687105","1070998859344687105")</f>
        <v>1070998859344687105</v>
      </c>
      <c r="F1439" s="11"/>
      <c r="G1439" s="11"/>
      <c r="H1439" s="11"/>
      <c r="I1439" s="13">
        <v>0</v>
      </c>
      <c r="J1439" s="13">
        <v>2</v>
      </c>
      <c r="K1439" s="14" t="str">
        <f t="shared" si="251"/>
        <v>Twitter for iPhone</v>
      </c>
      <c r="L1439" s="13">
        <v>38</v>
      </c>
      <c r="M1439" s="13">
        <v>44</v>
      </c>
      <c r="N1439" s="13">
        <v>1</v>
      </c>
      <c r="O1439" s="15"/>
      <c r="P1439" s="6">
        <v>42654.636840277773</v>
      </c>
      <c r="Q1439" s="11"/>
      <c r="R1439" s="19" t="s">
        <v>2882</v>
      </c>
      <c r="S1439" s="11"/>
      <c r="T1439" s="11"/>
      <c r="U1439" s="10" t="str">
        <f>HYPERLINK("https://pbs.twimg.com/profile_images/785839698203799552/fIQ62U7l.jpg","View")</f>
        <v>View</v>
      </c>
    </row>
    <row r="1440" spans="1:21" ht="30.6">
      <c r="A1440" s="6">
        <v>43441.506793981476</v>
      </c>
      <c r="B1440" s="7" t="str">
        <f>HYPERLINK("https://twitter.com/will63734694","@will63734694")</f>
        <v>@will63734694</v>
      </c>
      <c r="C1440" s="8" t="s">
        <v>2832</v>
      </c>
      <c r="D1440" s="9" t="s">
        <v>6008</v>
      </c>
      <c r="E1440" s="10" t="str">
        <f>HYPERLINK("https://twitter.com/will63734694/status/1070998803237482496","1070998803237482496")</f>
        <v>1070998803237482496</v>
      </c>
      <c r="F1440" s="12" t="s">
        <v>5842</v>
      </c>
      <c r="G1440" s="11"/>
      <c r="H1440" s="11"/>
      <c r="I1440" s="13">
        <v>0</v>
      </c>
      <c r="J1440" s="13">
        <v>0</v>
      </c>
      <c r="K1440" s="14" t="str">
        <f t="shared" ref="K1440:K1441" si="252">HYPERLINK("http://twitter.com/download/android","Twitter for Android")</f>
        <v>Twitter for Android</v>
      </c>
      <c r="L1440" s="13">
        <v>871</v>
      </c>
      <c r="M1440" s="13">
        <v>943</v>
      </c>
      <c r="N1440" s="13">
        <v>4</v>
      </c>
      <c r="O1440" s="15"/>
      <c r="P1440" s="6">
        <v>42240.768564814818</v>
      </c>
      <c r="Q1440" s="11"/>
      <c r="R1440" s="19" t="s">
        <v>2836</v>
      </c>
      <c r="S1440" s="12" t="s">
        <v>2837</v>
      </c>
      <c r="T1440" s="11"/>
      <c r="U1440" s="10" t="str">
        <f>HYPERLINK("https://pbs.twimg.com/profile_images/951533192347045888/lXt2lpIu.jpg","View")</f>
        <v>View</v>
      </c>
    </row>
    <row r="1441" spans="1:21" ht="51">
      <c r="A1441" s="6">
        <v>43441.506770833337</v>
      </c>
      <c r="B1441" s="7" t="str">
        <f>HYPERLINK("https://twitter.com/alvaroguva","@alvaroguva")</f>
        <v>@alvaroguva</v>
      </c>
      <c r="C1441" s="8" t="s">
        <v>2883</v>
      </c>
      <c r="D1441" s="9" t="s">
        <v>2884</v>
      </c>
      <c r="E1441" s="10" t="str">
        <f>HYPERLINK("https://twitter.com/alvaroguva/status/1070998793552912384","1070998793552912384")</f>
        <v>1070998793552912384</v>
      </c>
      <c r="F1441" s="18" t="s">
        <v>2466</v>
      </c>
      <c r="G1441" s="11"/>
      <c r="H1441" s="11"/>
      <c r="I1441" s="13">
        <v>0</v>
      </c>
      <c r="J1441" s="13">
        <v>1</v>
      </c>
      <c r="K1441" s="14" t="str">
        <f t="shared" si="252"/>
        <v>Twitter for Android</v>
      </c>
      <c r="L1441" s="13">
        <v>227</v>
      </c>
      <c r="M1441" s="13">
        <v>269</v>
      </c>
      <c r="N1441" s="13">
        <v>4</v>
      </c>
      <c r="O1441" s="15"/>
      <c r="P1441" s="6">
        <v>43028.920752314814</v>
      </c>
      <c r="Q1441" s="18" t="s">
        <v>2887</v>
      </c>
      <c r="R1441" s="19" t="s">
        <v>2888</v>
      </c>
      <c r="S1441" s="12" t="s">
        <v>2889</v>
      </c>
      <c r="T1441" s="11"/>
      <c r="U1441" s="10" t="str">
        <f>HYPERLINK("https://pbs.twimg.com/profile_images/921473556491505672/5y_TZcEp.jpg","View")</f>
        <v>View</v>
      </c>
    </row>
    <row r="1442" spans="1:21" ht="51">
      <c r="A1442" s="6">
        <v>43441.505254629628</v>
      </c>
      <c r="B1442" s="7" t="str">
        <f>HYPERLINK("https://twitter.com/PdeSamos","@PdeSamos")</f>
        <v>@PdeSamos</v>
      </c>
      <c r="C1442" s="8" t="s">
        <v>1432</v>
      </c>
      <c r="D1442" s="9" t="s">
        <v>6009</v>
      </c>
      <c r="E1442" s="10" t="str">
        <f>HYPERLINK("https://twitter.com/PdeSamos/status/1070998245978095616","1070998245978095616")</f>
        <v>1070998245978095616</v>
      </c>
      <c r="F1442" s="11"/>
      <c r="G1442" s="11"/>
      <c r="H1442" s="11"/>
      <c r="I1442" s="13">
        <v>0</v>
      </c>
      <c r="J1442" s="13">
        <v>0</v>
      </c>
      <c r="K1442" s="14" t="str">
        <f>HYPERLINK("http://republico.ddns.net","App Libertad PdeSamos")</f>
        <v>App Libertad PdeSamos</v>
      </c>
      <c r="L1442" s="13">
        <v>5398</v>
      </c>
      <c r="M1442" s="13">
        <v>5441</v>
      </c>
      <c r="N1442" s="13">
        <v>12</v>
      </c>
      <c r="O1442" s="15"/>
      <c r="P1442" s="6">
        <v>42889.820567129631</v>
      </c>
      <c r="Q1442" s="18" t="s">
        <v>1336</v>
      </c>
      <c r="R1442" s="19" t="s">
        <v>1438</v>
      </c>
      <c r="S1442" s="11"/>
      <c r="T1442" s="11"/>
      <c r="U1442" s="10" t="str">
        <f>HYPERLINK("https://pbs.twimg.com/profile_images/871063742003511296/xK2IYbrO.jpg","View")</f>
        <v>View</v>
      </c>
    </row>
    <row r="1443" spans="1:21" ht="51">
      <c r="A1443" s="6">
        <v>43441.505208333328</v>
      </c>
      <c r="B1443" s="7" t="str">
        <f>HYPERLINK("https://twitter.com/lapili1948","@lapili1948")</f>
        <v>@lapili1948</v>
      </c>
      <c r="C1443" s="8" t="s">
        <v>6010</v>
      </c>
      <c r="D1443" s="9" t="s">
        <v>6011</v>
      </c>
      <c r="E1443" s="10" t="str">
        <f>HYPERLINK("https://twitter.com/lapili1948/status/1070998229981020160","1070998229981020160")</f>
        <v>1070998229981020160</v>
      </c>
      <c r="F1443" s="11"/>
      <c r="G1443" s="11"/>
      <c r="H1443" s="11"/>
      <c r="I1443" s="13">
        <v>0</v>
      </c>
      <c r="J1443" s="13">
        <v>0</v>
      </c>
      <c r="K1443" s="14" t="str">
        <f t="shared" ref="K1443:K1444" si="253">HYPERLINK("http://twitter.com/download/android","Twitter for Android")</f>
        <v>Twitter for Android</v>
      </c>
      <c r="L1443" s="13">
        <v>1</v>
      </c>
      <c r="M1443" s="13">
        <v>63</v>
      </c>
      <c r="N1443" s="13">
        <v>0</v>
      </c>
      <c r="O1443" s="15"/>
      <c r="P1443" s="6">
        <v>43025.739386574074</v>
      </c>
      <c r="Q1443" s="11"/>
      <c r="R1443" s="17"/>
      <c r="S1443" s="11"/>
      <c r="T1443" s="11"/>
      <c r="U1443" s="16" t="s">
        <v>191</v>
      </c>
    </row>
    <row r="1444" spans="1:21" ht="40.799999999999997">
      <c r="A1444" s="6">
        <v>43441.504409722227</v>
      </c>
      <c r="B1444" s="7" t="str">
        <f>HYPERLINK("https://twitter.com/Minador5","@Minador5")</f>
        <v>@Minador5</v>
      </c>
      <c r="C1444" s="8" t="s">
        <v>6012</v>
      </c>
      <c r="D1444" s="9" t="s">
        <v>6013</v>
      </c>
      <c r="E1444" s="10" t="str">
        <f>HYPERLINK("https://twitter.com/Minador5/status/1070997937981919232","1070997937981919232")</f>
        <v>1070997937981919232</v>
      </c>
      <c r="F1444" s="12" t="s">
        <v>6014</v>
      </c>
      <c r="G1444" s="11"/>
      <c r="H1444" s="11"/>
      <c r="I1444" s="13">
        <v>0</v>
      </c>
      <c r="J1444" s="13">
        <v>1</v>
      </c>
      <c r="K1444" s="14" t="str">
        <f t="shared" si="253"/>
        <v>Twitter for Android</v>
      </c>
      <c r="L1444" s="13">
        <v>803</v>
      </c>
      <c r="M1444" s="13">
        <v>1268</v>
      </c>
      <c r="N1444" s="13">
        <v>0</v>
      </c>
      <c r="O1444" s="15"/>
      <c r="P1444" s="6">
        <v>43323.512118055558</v>
      </c>
      <c r="Q1444" s="18" t="s">
        <v>6015</v>
      </c>
      <c r="R1444" s="19" t="s">
        <v>6016</v>
      </c>
      <c r="S1444" s="11"/>
      <c r="T1444" s="11"/>
      <c r="U1444" s="10" t="str">
        <f>HYPERLINK("https://pbs.twimg.com/profile_images/1028257223187869696/-MccQUKJ.jpg","View")</f>
        <v>View</v>
      </c>
    </row>
    <row r="1445" spans="1:21" ht="71.400000000000006">
      <c r="A1445" s="6">
        <v>43441.50408564815</v>
      </c>
      <c r="B1445" s="7" t="str">
        <f>HYPERLINK("https://twitter.com/elSalmantino","@elSalmantino")</f>
        <v>@elSalmantino</v>
      </c>
      <c r="C1445" s="8" t="s">
        <v>6017</v>
      </c>
      <c r="D1445" s="9" t="s">
        <v>6018</v>
      </c>
      <c r="E1445" s="10" t="str">
        <f>HYPERLINK("https://twitter.com/elSalmantino/status/1070997820675710976","1070997820675710976")</f>
        <v>1070997820675710976</v>
      </c>
      <c r="F1445" s="18" t="s">
        <v>6019</v>
      </c>
      <c r="G1445" s="12" t="s">
        <v>2919</v>
      </c>
      <c r="H1445" s="11"/>
      <c r="I1445" s="13">
        <v>0</v>
      </c>
      <c r="J1445" s="13">
        <v>0</v>
      </c>
      <c r="K1445" s="14" t="str">
        <f>HYPERLINK("http://twitter.com/download/iphone","Twitter for iPhone")</f>
        <v>Twitter for iPhone</v>
      </c>
      <c r="L1445" s="13">
        <v>836</v>
      </c>
      <c r="M1445" s="13">
        <v>1529</v>
      </c>
      <c r="N1445" s="13">
        <v>26</v>
      </c>
      <c r="O1445" s="15"/>
      <c r="P1445" s="6">
        <v>39903.517766203702</v>
      </c>
      <c r="Q1445" s="18" t="s">
        <v>484</v>
      </c>
      <c r="R1445" s="19" t="s">
        <v>6020</v>
      </c>
      <c r="S1445" s="11"/>
      <c r="T1445" s="11"/>
      <c r="U1445" s="10" t="str">
        <f>HYPERLINK("https://pbs.twimg.com/profile_images/595292575747051521/OBYcumCq.png","View")</f>
        <v>View</v>
      </c>
    </row>
    <row r="1446" spans="1:21" ht="91.8">
      <c r="A1446" s="6">
        <v>43441.50372685185</v>
      </c>
      <c r="B1446" s="7" t="str">
        <f>HYPERLINK("https://twitter.com/Vox_Murcia","@Vox_Murcia")</f>
        <v>@Vox_Murcia</v>
      </c>
      <c r="C1446" s="8" t="s">
        <v>6021</v>
      </c>
      <c r="D1446" s="9" t="s">
        <v>6022</v>
      </c>
      <c r="E1446" s="10" t="str">
        <f>HYPERLINK("https://twitter.com/Vox_Murcia/status/1070997691956633600","1070997691956633600")</f>
        <v>1070997691956633600</v>
      </c>
      <c r="F1446" s="18" t="s">
        <v>6023</v>
      </c>
      <c r="G1446" s="11"/>
      <c r="H1446" s="11"/>
      <c r="I1446" s="13">
        <v>18</v>
      </c>
      <c r="J1446" s="13">
        <v>22</v>
      </c>
      <c r="K1446" s="14" t="str">
        <f t="shared" ref="K1446:K1447" si="254">HYPERLINK("http://twitter.com/download/android","Twitter for Android")</f>
        <v>Twitter for Android</v>
      </c>
      <c r="L1446" s="13">
        <v>3286</v>
      </c>
      <c r="M1446" s="13">
        <v>3610</v>
      </c>
      <c r="N1446" s="13">
        <v>44</v>
      </c>
      <c r="O1446" s="15"/>
      <c r="P1446" s="6">
        <v>41706.990370370375</v>
      </c>
      <c r="Q1446" s="18" t="s">
        <v>6024</v>
      </c>
      <c r="R1446" s="19" t="s">
        <v>6025</v>
      </c>
      <c r="S1446" s="12" t="s">
        <v>5519</v>
      </c>
      <c r="T1446" s="11"/>
      <c r="U1446" s="10" t="str">
        <f>HYPERLINK("https://pbs.twimg.com/profile_images/1007020887571419136/2qcNDfwR.jpg","View")</f>
        <v>View</v>
      </c>
    </row>
    <row r="1447" spans="1:21" ht="51">
      <c r="A1447" s="6">
        <v>43441.503587962958</v>
      </c>
      <c r="B1447" s="7" t="str">
        <f>HYPERLINK("https://twitter.com/viviruta","@viviruta")</f>
        <v>@viviruta</v>
      </c>
      <c r="C1447" s="8" t="s">
        <v>6026</v>
      </c>
      <c r="D1447" s="9" t="s">
        <v>6027</v>
      </c>
      <c r="E1447" s="10" t="str">
        <f>HYPERLINK("https://twitter.com/viviruta/status/1070997640890978305","1070997640890978305")</f>
        <v>1070997640890978305</v>
      </c>
      <c r="F1447" s="12" t="s">
        <v>40</v>
      </c>
      <c r="G1447" s="11"/>
      <c r="H1447" s="11"/>
      <c r="I1447" s="13">
        <v>0</v>
      </c>
      <c r="J1447" s="13">
        <v>0</v>
      </c>
      <c r="K1447" s="14" t="str">
        <f t="shared" si="254"/>
        <v>Twitter for Android</v>
      </c>
      <c r="L1447" s="13">
        <v>423</v>
      </c>
      <c r="M1447" s="13">
        <v>1048</v>
      </c>
      <c r="N1447" s="13">
        <v>5</v>
      </c>
      <c r="O1447" s="15"/>
      <c r="P1447" s="6">
        <v>40274.47828703704</v>
      </c>
      <c r="Q1447" s="18" t="s">
        <v>5211</v>
      </c>
      <c r="R1447" s="17"/>
      <c r="S1447" s="12" t="s">
        <v>6028</v>
      </c>
      <c r="T1447" s="11"/>
      <c r="U1447" s="10" t="str">
        <f>HYPERLINK("https://pbs.twimg.com/profile_images/924700405396836352/axaa6yGM.jpg","View")</f>
        <v>View</v>
      </c>
    </row>
    <row r="1448" spans="1:21" ht="51">
      <c r="A1448" s="6">
        <v>43441.503449074073</v>
      </c>
      <c r="B1448" s="7" t="str">
        <f>HYPERLINK("https://twitter.com/AdeSiracusa","@AdeSiracusa")</f>
        <v>@AdeSiracusa</v>
      </c>
      <c r="C1448" s="8" t="s">
        <v>682</v>
      </c>
      <c r="D1448" s="9" t="s">
        <v>6029</v>
      </c>
      <c r="E1448" s="10" t="str">
        <f>HYPERLINK("https://twitter.com/AdeSiracusa/status/1070997589565300736","1070997589565300736")</f>
        <v>1070997589565300736</v>
      </c>
      <c r="F1448" s="11"/>
      <c r="G1448" s="11"/>
      <c r="H1448" s="11"/>
      <c r="I1448" s="13">
        <v>0</v>
      </c>
      <c r="J1448" s="13">
        <v>0</v>
      </c>
      <c r="K1448" s="14" t="str">
        <f>HYPERLINK("http://www.republicosvenezuela.com/","AdeSiracusa")</f>
        <v>AdeSiracusa</v>
      </c>
      <c r="L1448" s="13">
        <v>4091</v>
      </c>
      <c r="M1448" s="13">
        <v>4122</v>
      </c>
      <c r="N1448" s="13">
        <v>12</v>
      </c>
      <c r="O1448" s="15"/>
      <c r="P1448" s="6">
        <v>42958.576388888891</v>
      </c>
      <c r="Q1448" s="18" t="s">
        <v>689</v>
      </c>
      <c r="R1448" s="19" t="s">
        <v>690</v>
      </c>
      <c r="S1448" s="11"/>
      <c r="T1448" s="11"/>
      <c r="U1448" s="10" t="str">
        <f>HYPERLINK("https://pbs.twimg.com/profile_images/895978354591105024/x2wNXrPl.jpg","View")</f>
        <v>View</v>
      </c>
    </row>
    <row r="1449" spans="1:21" ht="51">
      <c r="A1449" s="6">
        <v>43441.503055555557</v>
      </c>
      <c r="B1449" s="7" t="str">
        <f>HYPERLINK("https://twitter.com/sandradentista","@sandradentista")</f>
        <v>@sandradentista</v>
      </c>
      <c r="C1449" s="8" t="s">
        <v>2891</v>
      </c>
      <c r="D1449" s="9" t="s">
        <v>2892</v>
      </c>
      <c r="E1449" s="10" t="str">
        <f>HYPERLINK("https://twitter.com/sandradentista/status/1070997448288555008","1070997448288555008")</f>
        <v>1070997448288555008</v>
      </c>
      <c r="F1449" s="12" t="s">
        <v>2161</v>
      </c>
      <c r="G1449" s="11"/>
      <c r="H1449" s="11"/>
      <c r="I1449" s="13">
        <v>0</v>
      </c>
      <c r="J1449" s="13">
        <v>0</v>
      </c>
      <c r="K1449" s="14" t="str">
        <f>HYPERLINK("http://twitter.com/download/iphone","Twitter for iPhone")</f>
        <v>Twitter for iPhone</v>
      </c>
      <c r="L1449" s="13">
        <v>64</v>
      </c>
      <c r="M1449" s="13">
        <v>192</v>
      </c>
      <c r="N1449" s="13">
        <v>2</v>
      </c>
      <c r="O1449" s="15"/>
      <c r="P1449" s="6">
        <v>40638.985798611109</v>
      </c>
      <c r="Q1449" s="18" t="s">
        <v>2894</v>
      </c>
      <c r="R1449" s="19" t="s">
        <v>2895</v>
      </c>
      <c r="S1449" s="11"/>
      <c r="T1449" s="11"/>
      <c r="U1449" s="10" t="str">
        <f>HYPERLINK("https://pbs.twimg.com/profile_images/1048866156965191685/MSaNqTeU.jpg","View")</f>
        <v>View</v>
      </c>
    </row>
    <row r="1450" spans="1:21" ht="40.799999999999997">
      <c r="A1450" s="6">
        <v>43441.502939814818</v>
      </c>
      <c r="B1450" s="7" t="str">
        <f>HYPERLINK("https://twitter.com/josenrique31","@josenrique31")</f>
        <v>@josenrique31</v>
      </c>
      <c r="C1450" s="8" t="s">
        <v>2898</v>
      </c>
      <c r="D1450" s="9" t="s">
        <v>2899</v>
      </c>
      <c r="E1450" s="10" t="str">
        <f>HYPERLINK("https://twitter.com/josenrique31/status/1070997407805116417","1070997407805116417")</f>
        <v>1070997407805116417</v>
      </c>
      <c r="F1450" s="11"/>
      <c r="G1450" s="11"/>
      <c r="H1450" s="11"/>
      <c r="I1450" s="13">
        <v>0</v>
      </c>
      <c r="J1450" s="13">
        <v>0</v>
      </c>
      <c r="K1450" s="14" t="str">
        <f>HYPERLINK("http://twitter.com","Twitter Web Client")</f>
        <v>Twitter Web Client</v>
      </c>
      <c r="L1450" s="13">
        <v>626</v>
      </c>
      <c r="M1450" s="13">
        <v>2128</v>
      </c>
      <c r="N1450" s="13">
        <v>14</v>
      </c>
      <c r="O1450" s="15"/>
      <c r="P1450" s="6">
        <v>40443.671631944446</v>
      </c>
      <c r="Q1450" s="18" t="s">
        <v>2901</v>
      </c>
      <c r="R1450" s="19" t="s">
        <v>2902</v>
      </c>
      <c r="S1450" s="11"/>
      <c r="T1450" s="11"/>
      <c r="U1450" s="10" t="str">
        <f>HYPERLINK("https://pbs.twimg.com/profile_images/1058256790792503297/2SoMXOR8.jpg","View")</f>
        <v>View</v>
      </c>
    </row>
    <row r="1451" spans="1:21" ht="51">
      <c r="A1451" s="6">
        <v>43441.502847222218</v>
      </c>
      <c r="B1451" s="7" t="str">
        <f>HYPERLINK("https://twitter.com/PBMarbeMalaga","@PBMarbeMalaga")</f>
        <v>@PBMarbeMalaga</v>
      </c>
      <c r="C1451" s="8" t="s">
        <v>1635</v>
      </c>
      <c r="D1451" s="9" t="s">
        <v>6030</v>
      </c>
      <c r="E1451" s="10" t="str">
        <f>HYPERLINK("https://twitter.com/PBMarbeMalaga/status/1070997371205619713","1070997371205619713")</f>
        <v>1070997371205619713</v>
      </c>
      <c r="F1451" s="11"/>
      <c r="G1451" s="11"/>
      <c r="H1451" s="11"/>
      <c r="I1451" s="13">
        <v>0</v>
      </c>
      <c r="J1451" s="13">
        <v>0</v>
      </c>
      <c r="K1451" s="14" t="str">
        <f>HYPERLINK("https://javitang.ddns.net","PBMarbeMalaga")</f>
        <v>PBMarbeMalaga</v>
      </c>
      <c r="L1451" s="13">
        <v>1316</v>
      </c>
      <c r="M1451" s="13">
        <v>1358</v>
      </c>
      <c r="N1451" s="13">
        <v>2</v>
      </c>
      <c r="O1451" s="15"/>
      <c r="P1451" s="6">
        <v>43149.814074074078</v>
      </c>
      <c r="Q1451" s="18" t="s">
        <v>1637</v>
      </c>
      <c r="R1451" s="19" t="s">
        <v>1638</v>
      </c>
      <c r="S1451" s="11"/>
      <c r="T1451" s="11"/>
      <c r="U1451" s="10" t="str">
        <f>HYPERLINK("https://pbs.twimg.com/profile_images/965296691145531392/sAFnfUu2.jpg","View")</f>
        <v>View</v>
      </c>
    </row>
    <row r="1452" spans="1:21" ht="51">
      <c r="A1452" s="6">
        <v>43441.502199074079</v>
      </c>
      <c r="B1452" s="7" t="str">
        <f>HYPERLINK("https://twitter.com/zuri_zuri_","@zuri_zuri_")</f>
        <v>@zuri_zuri_</v>
      </c>
      <c r="C1452" s="8" t="s">
        <v>6031</v>
      </c>
      <c r="D1452" s="9" t="s">
        <v>6032</v>
      </c>
      <c r="E1452" s="10" t="str">
        <f>HYPERLINK("https://twitter.com/zuri_zuri_/status/1070997138262380544","1070997138262380544")</f>
        <v>1070997138262380544</v>
      </c>
      <c r="F1452" s="11"/>
      <c r="G1452" s="11"/>
      <c r="H1452" s="11"/>
      <c r="I1452" s="13">
        <v>0</v>
      </c>
      <c r="J1452" s="13">
        <v>0</v>
      </c>
      <c r="K1452" s="14" t="str">
        <f t="shared" ref="K1452:K1453" si="255">HYPERLINK("http://twitter.com/download/android","Twitter for Android")</f>
        <v>Twitter for Android</v>
      </c>
      <c r="L1452" s="13">
        <v>485</v>
      </c>
      <c r="M1452" s="13">
        <v>564</v>
      </c>
      <c r="N1452" s="13">
        <v>5</v>
      </c>
      <c r="O1452" s="15"/>
      <c r="P1452" s="6">
        <v>40017.676423611112</v>
      </c>
      <c r="Q1452" s="18" t="s">
        <v>6033</v>
      </c>
      <c r="R1452" s="19" t="s">
        <v>6034</v>
      </c>
      <c r="S1452" s="11"/>
      <c r="T1452" s="11"/>
      <c r="U1452" s="10" t="str">
        <f>HYPERLINK("https://pbs.twimg.com/profile_images/1066785717135835136/0SVToUca.jpg","View")</f>
        <v>View</v>
      </c>
    </row>
    <row r="1453" spans="1:21" ht="91.8">
      <c r="A1453" s="6">
        <v>43441.501585648148</v>
      </c>
      <c r="B1453" s="7" t="str">
        <f>HYPERLINK("https://twitter.com/LeopoldoBrandtM","@LeopoldoBrandtM")</f>
        <v>@LeopoldoBrandtM</v>
      </c>
      <c r="C1453" s="8" t="s">
        <v>2903</v>
      </c>
      <c r="D1453" s="9" t="s">
        <v>2904</v>
      </c>
      <c r="E1453" s="10" t="str">
        <f>HYPERLINK("https://twitter.com/LeopoldoBrandtM/status/1070996914294980608","1070996914294980608")</f>
        <v>1070996914294980608</v>
      </c>
      <c r="F1453" s="18" t="s">
        <v>2905</v>
      </c>
      <c r="G1453" s="11"/>
      <c r="H1453" s="11"/>
      <c r="I1453" s="13">
        <v>0</v>
      </c>
      <c r="J1453" s="13">
        <v>0</v>
      </c>
      <c r="K1453" s="14" t="str">
        <f t="shared" si="255"/>
        <v>Twitter for Android</v>
      </c>
      <c r="L1453" s="13">
        <v>498</v>
      </c>
      <c r="M1453" s="13">
        <v>461</v>
      </c>
      <c r="N1453" s="13">
        <v>14</v>
      </c>
      <c r="O1453" s="15"/>
      <c r="P1453" s="6">
        <v>40732.040081018517</v>
      </c>
      <c r="Q1453" s="18" t="s">
        <v>42</v>
      </c>
      <c r="R1453" s="19" t="s">
        <v>2906</v>
      </c>
      <c r="S1453" s="11"/>
      <c r="T1453" s="11"/>
      <c r="U1453" s="10" t="str">
        <f>HYPERLINK("https://pbs.twimg.com/profile_images/1015570993417420800/OLX8ddQk.jpg","View")</f>
        <v>View</v>
      </c>
    </row>
    <row r="1454" spans="1:21" ht="30.6">
      <c r="A1454" s="6">
        <v>43441.501550925925</v>
      </c>
      <c r="B1454" s="7" t="str">
        <f>HYPERLINK("https://twitter.com/RaafGL","@RaafGL")</f>
        <v>@RaafGL</v>
      </c>
      <c r="C1454" s="8" t="s">
        <v>2909</v>
      </c>
      <c r="D1454" s="9" t="s">
        <v>2910</v>
      </c>
      <c r="E1454" s="10" t="str">
        <f>HYPERLINK("https://twitter.com/RaafGL/status/1070996901242253312","1070996901242253312")</f>
        <v>1070996901242253312</v>
      </c>
      <c r="F1454" s="11"/>
      <c r="G1454" s="12" t="s">
        <v>2912</v>
      </c>
      <c r="H1454" s="11"/>
      <c r="I1454" s="13">
        <v>2</v>
      </c>
      <c r="J1454" s="13">
        <v>7</v>
      </c>
      <c r="K1454" s="14" t="str">
        <f>HYPERLINK("http://twitter.com","Twitter Web Client")</f>
        <v>Twitter Web Client</v>
      </c>
      <c r="L1454" s="13">
        <v>969</v>
      </c>
      <c r="M1454" s="13">
        <v>599</v>
      </c>
      <c r="N1454" s="13">
        <v>35</v>
      </c>
      <c r="O1454" s="15"/>
      <c r="P1454" s="6">
        <v>41040.789756944447</v>
      </c>
      <c r="Q1454" s="18" t="s">
        <v>260</v>
      </c>
      <c r="R1454" s="19" t="s">
        <v>2913</v>
      </c>
      <c r="S1454" s="12" t="s">
        <v>2915</v>
      </c>
      <c r="T1454" s="11"/>
      <c r="U1454" s="10" t="str">
        <f>HYPERLINK("https://pbs.twimg.com/profile_images/977267754209284097/poL-uB0c.jpg","View")</f>
        <v>View</v>
      </c>
    </row>
    <row r="1455" spans="1:21" ht="102">
      <c r="A1455" s="6">
        <v>43441.500659722224</v>
      </c>
      <c r="B1455" s="7" t="str">
        <f>HYPERLINK("https://twitter.com/LeopoldoBrandtM","@LeopoldoBrandtM")</f>
        <v>@LeopoldoBrandtM</v>
      </c>
      <c r="C1455" s="8" t="s">
        <v>2903</v>
      </c>
      <c r="D1455" s="9" t="s">
        <v>2917</v>
      </c>
      <c r="E1455" s="10" t="str">
        <f>HYPERLINK("https://twitter.com/LeopoldoBrandtM/status/1070996581040746496","1070996581040746496")</f>
        <v>1070996581040746496</v>
      </c>
      <c r="F1455" s="18" t="s">
        <v>2918</v>
      </c>
      <c r="G1455" s="12" t="s">
        <v>2919</v>
      </c>
      <c r="H1455" s="11"/>
      <c r="I1455" s="13">
        <v>0</v>
      </c>
      <c r="J1455" s="13">
        <v>0</v>
      </c>
      <c r="K1455" s="14" t="str">
        <f t="shared" ref="K1455:K1456" si="256">HYPERLINK("http://twitter.com/download/android","Twitter for Android")</f>
        <v>Twitter for Android</v>
      </c>
      <c r="L1455" s="13">
        <v>498</v>
      </c>
      <c r="M1455" s="13">
        <v>461</v>
      </c>
      <c r="N1455" s="13">
        <v>14</v>
      </c>
      <c r="O1455" s="15"/>
      <c r="P1455" s="6">
        <v>40732.040081018517</v>
      </c>
      <c r="Q1455" s="18" t="s">
        <v>42</v>
      </c>
      <c r="R1455" s="19" t="s">
        <v>2906</v>
      </c>
      <c r="S1455" s="11"/>
      <c r="T1455" s="11"/>
      <c r="U1455" s="10" t="str">
        <f>HYPERLINK("https://pbs.twimg.com/profile_images/1015570993417420800/OLX8ddQk.jpg","View")</f>
        <v>View</v>
      </c>
    </row>
    <row r="1456" spans="1:21" ht="61.2">
      <c r="A1456" s="6">
        <v>43441.498263888891</v>
      </c>
      <c r="B1456" s="7" t="str">
        <f>HYPERLINK("https://twitter.com/MEspinosa_","@MEspinosa_")</f>
        <v>@MEspinosa_</v>
      </c>
      <c r="C1456" s="8" t="s">
        <v>2922</v>
      </c>
      <c r="D1456" s="9" t="s">
        <v>2923</v>
      </c>
      <c r="E1456" s="10" t="str">
        <f>HYPERLINK("https://twitter.com/MEspinosa_/status/1070995711347572736","1070995711347572736")</f>
        <v>1070995711347572736</v>
      </c>
      <c r="F1456" s="11"/>
      <c r="G1456" s="12" t="s">
        <v>2924</v>
      </c>
      <c r="H1456" s="11"/>
      <c r="I1456" s="13">
        <v>309</v>
      </c>
      <c r="J1456" s="13">
        <v>562</v>
      </c>
      <c r="K1456" s="14" t="str">
        <f t="shared" si="256"/>
        <v>Twitter for Android</v>
      </c>
      <c r="L1456" s="13">
        <v>7435</v>
      </c>
      <c r="M1456" s="13">
        <v>2545</v>
      </c>
      <c r="N1456" s="13">
        <v>125</v>
      </c>
      <c r="O1456" s="16" t="s">
        <v>25</v>
      </c>
      <c r="P1456" s="6">
        <v>40815.494467592594</v>
      </c>
      <c r="Q1456" s="11"/>
      <c r="R1456" s="19" t="s">
        <v>2925</v>
      </c>
      <c r="S1456" s="12" t="s">
        <v>2926</v>
      </c>
      <c r="T1456" s="11"/>
      <c r="U1456" s="10" t="str">
        <f>HYPERLINK("https://pbs.twimg.com/profile_images/1008732683038576640/ITz4ezY7.jpg","View")</f>
        <v>View</v>
      </c>
    </row>
    <row r="1457" spans="1:21" ht="30.6">
      <c r="A1457" s="6">
        <v>43441.498090277775</v>
      </c>
      <c r="B1457" s="7" t="str">
        <f>HYPERLINK("https://twitter.com/MAXIDECI","@MAXIDECI")</f>
        <v>@MAXIDECI</v>
      </c>
      <c r="C1457" s="8" t="s">
        <v>6035</v>
      </c>
      <c r="D1457" s="9" t="s">
        <v>6036</v>
      </c>
      <c r="E1457" s="10" t="str">
        <f>HYPERLINK("https://twitter.com/MAXIDECI/status/1070995648772751360","1070995648772751360")</f>
        <v>1070995648772751360</v>
      </c>
      <c r="F1457" s="12" t="s">
        <v>6037</v>
      </c>
      <c r="G1457" s="11"/>
      <c r="H1457" s="11"/>
      <c r="I1457" s="13">
        <v>0</v>
      </c>
      <c r="J1457" s="13">
        <v>0</v>
      </c>
      <c r="K1457" s="14" t="str">
        <f t="shared" ref="K1457:K1458" si="257">HYPERLINK("http://twitter.com","Twitter Web Client")</f>
        <v>Twitter Web Client</v>
      </c>
      <c r="L1457" s="13">
        <v>1100</v>
      </c>
      <c r="M1457" s="13">
        <v>914</v>
      </c>
      <c r="N1457" s="13">
        <v>16</v>
      </c>
      <c r="O1457" s="15"/>
      <c r="P1457" s="6">
        <v>40645.394178240742</v>
      </c>
      <c r="Q1457" s="18" t="s">
        <v>114</v>
      </c>
      <c r="R1457" s="19" t="s">
        <v>6038</v>
      </c>
      <c r="S1457" s="11"/>
      <c r="T1457" s="11"/>
      <c r="U1457" s="10" t="str">
        <f>HYPERLINK("https://pbs.twimg.com/profile_images/378800000351400704/fd66e36bfbc3e0bd26bbab6792cd32ec.jpeg","View")</f>
        <v>View</v>
      </c>
    </row>
    <row r="1458" spans="1:21" ht="13.2">
      <c r="A1458" s="6">
        <v>43441.497789351852</v>
      </c>
      <c r="B1458" s="7" t="str">
        <f>HYPERLINK("https://twitter.com/LBerduque","@LBerduque")</f>
        <v>@LBerduque</v>
      </c>
      <c r="C1458" s="8" t="s">
        <v>6039</v>
      </c>
      <c r="D1458" s="9" t="s">
        <v>6040</v>
      </c>
      <c r="E1458" s="10" t="str">
        <f>HYPERLINK("https://twitter.com/LBerduque/status/1070995539058151424","1070995539058151424")</f>
        <v>1070995539058151424</v>
      </c>
      <c r="F1458" s="12" t="s">
        <v>6041</v>
      </c>
      <c r="G1458" s="11"/>
      <c r="H1458" s="11"/>
      <c r="I1458" s="13">
        <v>0</v>
      </c>
      <c r="J1458" s="13">
        <v>0</v>
      </c>
      <c r="K1458" s="14" t="str">
        <f t="shared" si="257"/>
        <v>Twitter Web Client</v>
      </c>
      <c r="L1458" s="13">
        <v>533</v>
      </c>
      <c r="M1458" s="13">
        <v>521</v>
      </c>
      <c r="N1458" s="13">
        <v>7</v>
      </c>
      <c r="O1458" s="15"/>
      <c r="P1458" s="6">
        <v>41681.508229166662</v>
      </c>
      <c r="Q1458" s="11"/>
      <c r="R1458" s="17"/>
      <c r="S1458" s="11"/>
      <c r="T1458" s="11"/>
      <c r="U1458" s="10" t="str">
        <f>HYPERLINK("https://pbs.twimg.com/profile_images/471728424197705728/GUaCCYqI.jpeg","View")</f>
        <v>View</v>
      </c>
    </row>
    <row r="1459" spans="1:21" ht="20.399999999999999">
      <c r="A1459" s="6">
        <v>43441.497627314813</v>
      </c>
      <c r="B1459" s="7" t="str">
        <f>HYPERLINK("https://twitter.com/JacoboMonfort","@JacoboMonfort")</f>
        <v>@JacoboMonfort</v>
      </c>
      <c r="C1459" s="8" t="s">
        <v>6042</v>
      </c>
      <c r="D1459" s="9" t="s">
        <v>3314</v>
      </c>
      <c r="E1459" s="10" t="str">
        <f>HYPERLINK("https://twitter.com/JacoboMonfort/status/1070995479859736577","1070995479859736577")</f>
        <v>1070995479859736577</v>
      </c>
      <c r="F1459" s="12" t="s">
        <v>40</v>
      </c>
      <c r="G1459" s="11"/>
      <c r="H1459" s="11"/>
      <c r="I1459" s="13">
        <v>0</v>
      </c>
      <c r="J1459" s="13">
        <v>0</v>
      </c>
      <c r="K1459" s="14" t="str">
        <f t="shared" ref="K1459:K1460" si="258">HYPERLINK("http://twitter.com/download/android","Twitter for Android")</f>
        <v>Twitter for Android</v>
      </c>
      <c r="L1459" s="13">
        <v>1602</v>
      </c>
      <c r="M1459" s="13">
        <v>2071</v>
      </c>
      <c r="N1459" s="13">
        <v>11</v>
      </c>
      <c r="O1459" s="15"/>
      <c r="P1459" s="6">
        <v>40201.992141203707</v>
      </c>
      <c r="Q1459" s="18" t="s">
        <v>973</v>
      </c>
      <c r="R1459" s="17"/>
      <c r="S1459" s="11"/>
      <c r="T1459" s="11"/>
      <c r="U1459" s="10" t="str">
        <f>HYPERLINK("https://pbs.twimg.com/profile_images/729423885041537024/xThPf9dD.jpg","View")</f>
        <v>View</v>
      </c>
    </row>
    <row r="1460" spans="1:21" ht="51">
      <c r="A1460" s="6">
        <v>43441.497071759259</v>
      </c>
      <c r="B1460" s="7" t="str">
        <f>HYPERLINK("https://twitter.com/Elpa_jarraco","@Elpa_jarraco")</f>
        <v>@Elpa_jarraco</v>
      </c>
      <c r="C1460" s="8" t="s">
        <v>2930</v>
      </c>
      <c r="D1460" s="9" t="s">
        <v>2931</v>
      </c>
      <c r="E1460" s="10" t="str">
        <f>HYPERLINK("https://twitter.com/Elpa_jarraco/status/1070995278927446016","1070995278927446016")</f>
        <v>1070995278927446016</v>
      </c>
      <c r="F1460" s="11"/>
      <c r="G1460" s="11"/>
      <c r="H1460" s="11"/>
      <c r="I1460" s="13">
        <v>0</v>
      </c>
      <c r="J1460" s="13">
        <v>0</v>
      </c>
      <c r="K1460" s="14" t="str">
        <f t="shared" si="258"/>
        <v>Twitter for Android</v>
      </c>
      <c r="L1460" s="13">
        <v>59</v>
      </c>
      <c r="M1460" s="13">
        <v>191</v>
      </c>
      <c r="N1460" s="13">
        <v>0</v>
      </c>
      <c r="O1460" s="15"/>
      <c r="P1460" s="6">
        <v>42014.029918981483</v>
      </c>
      <c r="Q1460" s="11"/>
      <c r="R1460" s="19" t="s">
        <v>2933</v>
      </c>
      <c r="S1460" s="11"/>
      <c r="T1460" s="11"/>
      <c r="U1460" s="10" t="str">
        <f>HYPERLINK("https://pbs.twimg.com/profile_images/904345518037446656/0ctskaix.jpg","View")</f>
        <v>View</v>
      </c>
    </row>
    <row r="1461" spans="1:21" ht="20.399999999999999">
      <c r="A1461" s="6">
        <v>43441.496504629627</v>
      </c>
      <c r="B1461" s="7" t="str">
        <f>HYPERLINK("https://twitter.com/daniel_nieve","@daniel_nieve")</f>
        <v>@daniel_nieve</v>
      </c>
      <c r="C1461" s="8" t="s">
        <v>6043</v>
      </c>
      <c r="D1461" s="9" t="s">
        <v>6044</v>
      </c>
      <c r="E1461" s="10" t="str">
        <f>HYPERLINK("https://twitter.com/daniel_nieve/status/1070995074778054657","1070995074778054657")</f>
        <v>1070995074778054657</v>
      </c>
      <c r="F1461" s="12" t="s">
        <v>6045</v>
      </c>
      <c r="G1461" s="11"/>
      <c r="H1461" s="11"/>
      <c r="I1461" s="13">
        <v>0</v>
      </c>
      <c r="J1461" s="13">
        <v>0</v>
      </c>
      <c r="K1461" s="14" t="str">
        <f>HYPERLINK("http://twitter.com/#!/download/ipad","Twitter for iPad")</f>
        <v>Twitter for iPad</v>
      </c>
      <c r="L1461" s="13">
        <v>881</v>
      </c>
      <c r="M1461" s="13">
        <v>2409</v>
      </c>
      <c r="N1461" s="13">
        <v>20</v>
      </c>
      <c r="O1461" s="15"/>
      <c r="P1461" s="6">
        <v>41188.613229166665</v>
      </c>
      <c r="Q1461" s="11"/>
      <c r="R1461" s="17"/>
      <c r="S1461" s="11"/>
      <c r="T1461" s="11"/>
      <c r="U1461" s="10" t="str">
        <f>HYPERLINK("https://pbs.twimg.com/profile_images/3410753818/0c5b06f69665939552234036c2c75935.jpeg","View")</f>
        <v>View</v>
      </c>
    </row>
    <row r="1462" spans="1:21" ht="40.799999999999997">
      <c r="A1462" s="6">
        <v>43441.495081018518</v>
      </c>
      <c r="B1462" s="7" t="str">
        <f>HYPERLINK("https://twitter.com/Catiti31","@Catiti31")</f>
        <v>@Catiti31</v>
      </c>
      <c r="C1462" s="8" t="s">
        <v>6046</v>
      </c>
      <c r="D1462" s="9" t="s">
        <v>6047</v>
      </c>
      <c r="E1462" s="10" t="str">
        <f>HYPERLINK("https://twitter.com/Catiti31/status/1070994559382052867","1070994559382052867")</f>
        <v>1070994559382052867</v>
      </c>
      <c r="F1462" s="11"/>
      <c r="G1462" s="11"/>
      <c r="H1462" s="11"/>
      <c r="I1462" s="13">
        <v>0</v>
      </c>
      <c r="J1462" s="13">
        <v>0</v>
      </c>
      <c r="K1462" s="14" t="str">
        <f>HYPERLINK("http://twitter.com","Twitter Web Client")</f>
        <v>Twitter Web Client</v>
      </c>
      <c r="L1462" s="13">
        <v>300</v>
      </c>
      <c r="M1462" s="13">
        <v>630</v>
      </c>
      <c r="N1462" s="13">
        <v>2</v>
      </c>
      <c r="O1462" s="15"/>
      <c r="P1462" s="6">
        <v>41805.313541666663</v>
      </c>
      <c r="Q1462" s="18" t="s">
        <v>41</v>
      </c>
      <c r="R1462" s="19" t="s">
        <v>6048</v>
      </c>
      <c r="S1462" s="11"/>
      <c r="T1462" s="11"/>
      <c r="U1462" s="10" t="str">
        <f>HYPERLINK("https://pbs.twimg.com/profile_images/1021721741985501185/D8e4l-th.jpg","View")</f>
        <v>View</v>
      </c>
    </row>
    <row r="1463" spans="1:21" ht="40.799999999999997">
      <c r="A1463" s="6">
        <v>43441.494942129633</v>
      </c>
      <c r="B1463" s="7" t="str">
        <f>HYPERLINK("https://twitter.com/Ramon1066","@Ramon1066")</f>
        <v>@Ramon1066</v>
      </c>
      <c r="C1463" s="8" t="s">
        <v>2934</v>
      </c>
      <c r="D1463" s="9" t="s">
        <v>2935</v>
      </c>
      <c r="E1463" s="10" t="str">
        <f>HYPERLINK("https://twitter.com/Ramon1066/status/1070994509427822594","1070994509427822594")</f>
        <v>1070994509427822594</v>
      </c>
      <c r="F1463" s="11"/>
      <c r="G1463" s="11"/>
      <c r="H1463" s="11"/>
      <c r="I1463" s="13">
        <v>0</v>
      </c>
      <c r="J1463" s="13">
        <v>1</v>
      </c>
      <c r="K1463" s="14" t="str">
        <f>HYPERLINK("http://twitter.com/download/android","Twitter for Android")</f>
        <v>Twitter for Android</v>
      </c>
      <c r="L1463" s="13">
        <v>195</v>
      </c>
      <c r="M1463" s="13">
        <v>109</v>
      </c>
      <c r="N1463" s="13">
        <v>8</v>
      </c>
      <c r="O1463" s="15"/>
      <c r="P1463" s="6">
        <v>40706.41547453704</v>
      </c>
      <c r="Q1463" s="18" t="s">
        <v>2936</v>
      </c>
      <c r="R1463" s="19" t="s">
        <v>2937</v>
      </c>
      <c r="S1463" s="12" t="s">
        <v>2938</v>
      </c>
      <c r="T1463" s="11"/>
      <c r="U1463" s="10" t="str">
        <f>HYPERLINK("https://pbs.twimg.com/profile_images/1028718570270806016/dBlAM4pD.jpg","View")</f>
        <v>View</v>
      </c>
    </row>
    <row r="1464" spans="1:21" ht="20.399999999999999">
      <c r="A1464" s="6">
        <v>43441.494849537034</v>
      </c>
      <c r="B1464" s="7" t="str">
        <f>HYPERLINK("https://twitter.com/IomTT2017","@IomTT2017")</f>
        <v>@IomTT2017</v>
      </c>
      <c r="C1464" s="8" t="s">
        <v>6049</v>
      </c>
      <c r="D1464" s="9" t="s">
        <v>6050</v>
      </c>
      <c r="E1464" s="10" t="str">
        <f>HYPERLINK("https://twitter.com/IomTT2017/status/1070994474434736129","1070994474434736129")</f>
        <v>1070994474434736129</v>
      </c>
      <c r="F1464" s="12" t="s">
        <v>6051</v>
      </c>
      <c r="G1464" s="11"/>
      <c r="H1464" s="11"/>
      <c r="I1464" s="13">
        <v>0</v>
      </c>
      <c r="J1464" s="13">
        <v>0</v>
      </c>
      <c r="K1464" s="14" t="str">
        <f>HYPERLINK("http://www.facebook.com/twitter","Facebook")</f>
        <v>Facebook</v>
      </c>
      <c r="L1464" s="13">
        <v>22551</v>
      </c>
      <c r="M1464" s="13">
        <v>23396</v>
      </c>
      <c r="N1464" s="13">
        <v>41</v>
      </c>
      <c r="O1464" s="15"/>
      <c r="P1464" s="6">
        <v>41431.556840277779</v>
      </c>
      <c r="Q1464" s="18" t="s">
        <v>6052</v>
      </c>
      <c r="R1464" s="19" t="s">
        <v>6053</v>
      </c>
      <c r="S1464" s="12" t="s">
        <v>6054</v>
      </c>
      <c r="T1464" s="11"/>
      <c r="U1464" s="10" t="str">
        <f>HYPERLINK("https://pbs.twimg.com/profile_images/1049627339649441793/LX8ZQ01n.jpg","View")</f>
        <v>View</v>
      </c>
    </row>
    <row r="1465" spans="1:21" ht="20.399999999999999">
      <c r="A1465" s="6">
        <v>43441.4924537037</v>
      </c>
      <c r="B1465" s="7" t="str">
        <f>HYPERLINK("https://twitter.com/Donicela2","@Donicela2")</f>
        <v>@Donicela2</v>
      </c>
      <c r="C1465" s="8" t="s">
        <v>6055</v>
      </c>
      <c r="D1465" s="9" t="s">
        <v>6056</v>
      </c>
      <c r="E1465" s="10" t="str">
        <f>HYPERLINK("https://twitter.com/Donicela2/status/1070993606352224256","1070993606352224256")</f>
        <v>1070993606352224256</v>
      </c>
      <c r="F1465" s="11"/>
      <c r="G1465" s="11"/>
      <c r="H1465" s="11"/>
      <c r="I1465" s="13">
        <v>0</v>
      </c>
      <c r="J1465" s="13">
        <v>0</v>
      </c>
      <c r="K1465" s="14" t="str">
        <f>HYPERLINK("http://twitter.com/download/android","Twitter for Android")</f>
        <v>Twitter for Android</v>
      </c>
      <c r="L1465" s="13">
        <v>14</v>
      </c>
      <c r="M1465" s="13">
        <v>12</v>
      </c>
      <c r="N1465" s="13">
        <v>0</v>
      </c>
      <c r="O1465" s="15"/>
      <c r="P1465" s="6">
        <v>41606.747546296298</v>
      </c>
      <c r="Q1465" s="11"/>
      <c r="R1465" s="17"/>
      <c r="S1465" s="11"/>
      <c r="T1465" s="11"/>
      <c r="U1465" s="10" t="str">
        <f>HYPERLINK("https://pbs.twimg.com/profile_images/378800000802454988/9ad0e2ea34b9df82ed896b50038a3992.jpeg","View")</f>
        <v>View</v>
      </c>
    </row>
    <row r="1466" spans="1:21" ht="20.399999999999999">
      <c r="A1466" s="6">
        <v>43441.491319444445</v>
      </c>
      <c r="B1466" s="7" t="str">
        <f>HYPERLINK("https://twitter.com/Ellukemartos","@Ellukemartos")</f>
        <v>@Ellukemartos</v>
      </c>
      <c r="C1466" s="8" t="s">
        <v>6057</v>
      </c>
      <c r="D1466" s="9" t="s">
        <v>6058</v>
      </c>
      <c r="E1466" s="10" t="str">
        <f>HYPERLINK("https://twitter.com/Ellukemartos/status/1070993193460817920","1070993193460817920")</f>
        <v>1070993193460817920</v>
      </c>
      <c r="F1466" s="12" t="s">
        <v>6059</v>
      </c>
      <c r="G1466" s="11"/>
      <c r="H1466" s="11"/>
      <c r="I1466" s="13">
        <v>0</v>
      </c>
      <c r="J1466" s="13">
        <v>0</v>
      </c>
      <c r="K1466" s="14" t="str">
        <f>HYPERLINK("http://twitter.com","Twitter Web Client")</f>
        <v>Twitter Web Client</v>
      </c>
      <c r="L1466" s="13">
        <v>670</v>
      </c>
      <c r="M1466" s="13">
        <v>243</v>
      </c>
      <c r="N1466" s="13">
        <v>51</v>
      </c>
      <c r="O1466" s="15"/>
      <c r="P1466" s="6">
        <v>40079.797581018516</v>
      </c>
      <c r="Q1466" s="18" t="s">
        <v>2978</v>
      </c>
      <c r="R1466" s="19" t="s">
        <v>2978</v>
      </c>
      <c r="S1466" s="11"/>
      <c r="T1466" s="11"/>
      <c r="U1466" s="10" t="str">
        <f>HYPERLINK("https://pbs.twimg.com/profile_images/980900080185233408/u_WHCxt9.jpg","View")</f>
        <v>View</v>
      </c>
    </row>
    <row r="1467" spans="1:21" ht="13.2">
      <c r="A1467" s="6">
        <v>43441.49113425926</v>
      </c>
      <c r="B1467" s="7" t="str">
        <f>HYPERLINK("https://twitter.com/anallop","@anallop")</f>
        <v>@anallop</v>
      </c>
      <c r="C1467" s="8" t="s">
        <v>6060</v>
      </c>
      <c r="D1467" s="9" t="s">
        <v>6061</v>
      </c>
      <c r="E1467" s="10" t="str">
        <f>HYPERLINK("https://twitter.com/anallop/status/1070993130076426242","1070993130076426242")</f>
        <v>1070993130076426242</v>
      </c>
      <c r="F1467" s="11"/>
      <c r="G1467" s="11"/>
      <c r="H1467" s="11"/>
      <c r="I1467" s="13">
        <v>0</v>
      </c>
      <c r="J1467" s="13">
        <v>0</v>
      </c>
      <c r="K1467" s="14" t="str">
        <f>HYPERLINK("https://mobile.twitter.com","Twitter Lite")</f>
        <v>Twitter Lite</v>
      </c>
      <c r="L1467" s="13">
        <v>9</v>
      </c>
      <c r="M1467" s="13">
        <v>19</v>
      </c>
      <c r="N1467" s="13">
        <v>0</v>
      </c>
      <c r="O1467" s="15"/>
      <c r="P1467" s="6">
        <v>40614.698252314818</v>
      </c>
      <c r="Q1467" s="18" t="s">
        <v>973</v>
      </c>
      <c r="R1467" s="17"/>
      <c r="S1467" s="11"/>
      <c r="T1467" s="11"/>
      <c r="U1467" s="10" t="str">
        <f>HYPERLINK("https://pbs.twimg.com/profile_images/1005574839837577216/HXAg5Ubi.jpg","View")</f>
        <v>View</v>
      </c>
    </row>
    <row r="1468" spans="1:21" ht="40.799999999999997">
      <c r="A1468" s="6">
        <v>43441.490381944444</v>
      </c>
      <c r="B1468" s="7" t="str">
        <f>HYPERLINK("https://twitter.com/Alfonso_Lago","@Alfonso_Lago")</f>
        <v>@Alfonso_Lago</v>
      </c>
      <c r="C1468" s="8" t="s">
        <v>1700</v>
      </c>
      <c r="D1468" s="9" t="s">
        <v>2940</v>
      </c>
      <c r="E1468" s="10" t="str">
        <f>HYPERLINK("https://twitter.com/Alfonso_Lago/status/1070992854628134917","1070992854628134917")</f>
        <v>1070992854628134917</v>
      </c>
      <c r="F1468" s="11"/>
      <c r="G1468" s="11"/>
      <c r="H1468" s="11"/>
      <c r="I1468" s="13">
        <v>0</v>
      </c>
      <c r="J1468" s="13">
        <v>0</v>
      </c>
      <c r="K1468" s="14" t="str">
        <f t="shared" ref="K1468:K1471" si="259">HYPERLINK("http://twitter.com","Twitter Web Client")</f>
        <v>Twitter Web Client</v>
      </c>
      <c r="L1468" s="13">
        <v>2052</v>
      </c>
      <c r="M1468" s="13">
        <v>1820</v>
      </c>
      <c r="N1468" s="13">
        <v>31</v>
      </c>
      <c r="O1468" s="15"/>
      <c r="P1468" s="6">
        <v>40651.50582175926</v>
      </c>
      <c r="Q1468" s="18" t="s">
        <v>1708</v>
      </c>
      <c r="R1468" s="19" t="s">
        <v>1709</v>
      </c>
      <c r="S1468" s="11"/>
      <c r="T1468" s="11"/>
      <c r="U1468" s="10" t="str">
        <f>HYPERLINK("https://pbs.twimg.com/profile_images/476290489193226240/Uax77d_1.jpeg","View")</f>
        <v>View</v>
      </c>
    </row>
    <row r="1469" spans="1:21" ht="51">
      <c r="A1469" s="6">
        <v>43441.489756944444</v>
      </c>
      <c r="B1469" s="7" t="str">
        <f>HYPERLINK("https://twitter.com/Jorcaina01Jose","@Jorcaina01Jose")</f>
        <v>@Jorcaina01Jose</v>
      </c>
      <c r="C1469" s="8" t="s">
        <v>2944</v>
      </c>
      <c r="D1469" s="9" t="s">
        <v>2945</v>
      </c>
      <c r="E1469" s="10" t="str">
        <f>HYPERLINK("https://twitter.com/Jorcaina01Jose/status/1070992627602989058","1070992627602989058")</f>
        <v>1070992627602989058</v>
      </c>
      <c r="F1469" s="12" t="s">
        <v>2948</v>
      </c>
      <c r="G1469" s="12" t="s">
        <v>2949</v>
      </c>
      <c r="H1469" s="11"/>
      <c r="I1469" s="13">
        <v>1</v>
      </c>
      <c r="J1469" s="13">
        <v>2</v>
      </c>
      <c r="K1469" s="14" t="str">
        <f t="shared" si="259"/>
        <v>Twitter Web Client</v>
      </c>
      <c r="L1469" s="13">
        <v>34</v>
      </c>
      <c r="M1469" s="13">
        <v>258</v>
      </c>
      <c r="N1469" s="13">
        <v>0</v>
      </c>
      <c r="O1469" s="15"/>
      <c r="P1469" s="6">
        <v>41044.998726851853</v>
      </c>
      <c r="Q1469" s="18" t="s">
        <v>2950</v>
      </c>
      <c r="R1469" s="19" t="s">
        <v>2951</v>
      </c>
      <c r="S1469" s="11"/>
      <c r="T1469" s="11"/>
      <c r="U1469" s="10" t="str">
        <f>HYPERLINK("https://pbs.twimg.com/profile_images/873419941818621952/dFCZ_5XL.jpg","View")</f>
        <v>View</v>
      </c>
    </row>
    <row r="1470" spans="1:21" ht="51">
      <c r="A1470" s="6">
        <v>43441.489178240736</v>
      </c>
      <c r="B1470" s="7" t="str">
        <f>HYPERLINK("https://twitter.com/quico_autonell","@quico_autonell")</f>
        <v>@quico_autonell</v>
      </c>
      <c r="C1470" s="8" t="s">
        <v>6062</v>
      </c>
      <c r="D1470" s="9" t="s">
        <v>6063</v>
      </c>
      <c r="E1470" s="10" t="str">
        <f>HYPERLINK("https://twitter.com/quico_autonell/status/1070992420081422336","1070992420081422336")</f>
        <v>1070992420081422336</v>
      </c>
      <c r="F1470" s="12" t="s">
        <v>40</v>
      </c>
      <c r="G1470" s="11"/>
      <c r="H1470" s="11"/>
      <c r="I1470" s="13">
        <v>1</v>
      </c>
      <c r="J1470" s="13">
        <v>3</v>
      </c>
      <c r="K1470" s="14" t="str">
        <f t="shared" si="259"/>
        <v>Twitter Web Client</v>
      </c>
      <c r="L1470" s="13">
        <v>2938</v>
      </c>
      <c r="M1470" s="13">
        <v>2806</v>
      </c>
      <c r="N1470" s="13">
        <v>13</v>
      </c>
      <c r="O1470" s="15"/>
      <c r="P1470" s="6">
        <v>42383.536469907413</v>
      </c>
      <c r="Q1470" s="18" t="s">
        <v>6064</v>
      </c>
      <c r="R1470" s="19" t="s">
        <v>6065</v>
      </c>
      <c r="S1470" s="11"/>
      <c r="T1470" s="11"/>
      <c r="U1470" s="10" t="str">
        <f>HYPERLINK("https://pbs.twimg.com/profile_images/784393539606175744/yz83woRh.jpg","View")</f>
        <v>View</v>
      </c>
    </row>
    <row r="1471" spans="1:21" ht="81.599999999999994">
      <c r="A1471" s="6">
        <v>43441.48836805555</v>
      </c>
      <c r="B1471" s="7" t="str">
        <f>HYPERLINK("https://twitter.com/_teofrasto","@_teofrasto")</f>
        <v>@_teofrasto</v>
      </c>
      <c r="C1471" s="8" t="s">
        <v>6066</v>
      </c>
      <c r="D1471" s="9" t="s">
        <v>6067</v>
      </c>
      <c r="E1471" s="10" t="str">
        <f>HYPERLINK("https://twitter.com/_teofrasto/status/1070992125502865408","1070992125502865408")</f>
        <v>1070992125502865408</v>
      </c>
      <c r="F1471" s="12" t="s">
        <v>1890</v>
      </c>
      <c r="G1471" s="12" t="s">
        <v>1891</v>
      </c>
      <c r="H1471" s="11"/>
      <c r="I1471" s="13">
        <v>1</v>
      </c>
      <c r="J1471" s="13">
        <v>2</v>
      </c>
      <c r="K1471" s="14" t="str">
        <f t="shared" si="259"/>
        <v>Twitter Web Client</v>
      </c>
      <c r="L1471" s="13">
        <v>93</v>
      </c>
      <c r="M1471" s="13">
        <v>142</v>
      </c>
      <c r="N1471" s="13">
        <v>2</v>
      </c>
      <c r="O1471" s="15"/>
      <c r="P1471" s="6">
        <v>42410.871562500004</v>
      </c>
      <c r="Q1471" s="11"/>
      <c r="R1471" s="19" t="s">
        <v>6068</v>
      </c>
      <c r="S1471" s="11"/>
      <c r="T1471" s="11"/>
      <c r="U1471" s="10" t="str">
        <f>HYPERLINK("https://pbs.twimg.com/profile_images/904998337576927233/vU1m3s2z.jpg","View")</f>
        <v>View</v>
      </c>
    </row>
    <row r="1472" spans="1:21" ht="20.399999999999999">
      <c r="A1472" s="6">
        <v>43441.488159722227</v>
      </c>
      <c r="B1472" s="7" t="str">
        <f>HYPERLINK("https://twitter.com/qqqqetru","@qqqqetru")</f>
        <v>@qqqqetru</v>
      </c>
      <c r="C1472" s="8" t="s">
        <v>127</v>
      </c>
      <c r="D1472" s="9" t="s">
        <v>6069</v>
      </c>
      <c r="E1472" s="10" t="str">
        <f>HYPERLINK("https://twitter.com/qqqqetru/status/1070992049359515648","1070992049359515648")</f>
        <v>1070992049359515648</v>
      </c>
      <c r="F1472" s="11"/>
      <c r="G1472" s="12" t="s">
        <v>6070</v>
      </c>
      <c r="H1472" s="11"/>
      <c r="I1472" s="13">
        <v>0</v>
      </c>
      <c r="J1472" s="13">
        <v>1</v>
      </c>
      <c r="K1472" s="14" t="str">
        <f>HYPERLINK("http://twitter.com/download/android","Twitter for Android")</f>
        <v>Twitter for Android</v>
      </c>
      <c r="L1472" s="13">
        <v>649</v>
      </c>
      <c r="M1472" s="13">
        <v>1194</v>
      </c>
      <c r="N1472" s="13">
        <v>2</v>
      </c>
      <c r="O1472" s="15"/>
      <c r="P1472" s="6">
        <v>40749.437719907408</v>
      </c>
      <c r="Q1472" s="11"/>
      <c r="R1472" s="17"/>
      <c r="S1472" s="11"/>
      <c r="T1472" s="11"/>
      <c r="U1472" s="10" t="str">
        <f>HYPERLINK("https://pbs.twimg.com/profile_images/1069734331780870144/d_KYpBFy.jpg","View")</f>
        <v>View</v>
      </c>
    </row>
    <row r="1473" spans="1:21" ht="20.399999999999999">
      <c r="A1473" s="6">
        <v>43441.487881944442</v>
      </c>
      <c r="B1473" s="7" t="str">
        <f>HYPERLINK("https://twitter.com/mariona1950","@mariona1950")</f>
        <v>@mariona1950</v>
      </c>
      <c r="C1473" s="8" t="s">
        <v>6071</v>
      </c>
      <c r="D1473" s="9" t="s">
        <v>6072</v>
      </c>
      <c r="E1473" s="10" t="str">
        <f>HYPERLINK("https://twitter.com/mariona1950/status/1070991949509877761","1070991949509877761")</f>
        <v>1070991949509877761</v>
      </c>
      <c r="F1473" s="12" t="s">
        <v>5509</v>
      </c>
      <c r="G1473" s="11"/>
      <c r="H1473" s="11"/>
      <c r="I1473" s="13">
        <v>0</v>
      </c>
      <c r="J1473" s="13">
        <v>0</v>
      </c>
      <c r="K1473" s="14" t="str">
        <f>HYPERLINK("http://www.facebook.com/twitter","Facebook")</f>
        <v>Facebook</v>
      </c>
      <c r="L1473" s="13">
        <v>77</v>
      </c>
      <c r="M1473" s="13">
        <v>124</v>
      </c>
      <c r="N1473" s="13">
        <v>1</v>
      </c>
      <c r="O1473" s="15"/>
      <c r="P1473" s="6">
        <v>41271.475960648146</v>
      </c>
      <c r="Q1473" s="18" t="s">
        <v>6073</v>
      </c>
      <c r="R1473" s="19" t="s">
        <v>6074</v>
      </c>
      <c r="S1473" s="11"/>
      <c r="T1473" s="11"/>
      <c r="U1473" s="10" t="str">
        <f>HYPERLINK("https://pbs.twimg.com/profile_images/488637876096094209/BAjKCtLO.jpeg","View")</f>
        <v>View</v>
      </c>
    </row>
    <row r="1474" spans="1:21" ht="20.399999999999999">
      <c r="A1474" s="6">
        <v>43441.487326388888</v>
      </c>
      <c r="B1474" s="7" t="str">
        <f>HYPERLINK("https://twitter.com/senoritoNO","@senoritoNO")</f>
        <v>@senoritoNO</v>
      </c>
      <c r="C1474" s="8" t="s">
        <v>6075</v>
      </c>
      <c r="D1474" s="9" t="s">
        <v>6076</v>
      </c>
      <c r="E1474" s="10" t="str">
        <f>HYPERLINK("https://twitter.com/senoritoNO/status/1070991746832756736","1070991746832756736")</f>
        <v>1070991746832756736</v>
      </c>
      <c r="F1474" s="12" t="s">
        <v>6077</v>
      </c>
      <c r="G1474" s="11"/>
      <c r="H1474" s="11"/>
      <c r="I1474" s="13">
        <v>0</v>
      </c>
      <c r="J1474" s="13">
        <v>0</v>
      </c>
      <c r="K1474" s="14" t="str">
        <f>HYPERLINK("https://mobile.twitter.com","Twitter Lite")</f>
        <v>Twitter Lite</v>
      </c>
      <c r="L1474" s="13">
        <v>52</v>
      </c>
      <c r="M1474" s="13">
        <v>108</v>
      </c>
      <c r="N1474" s="13">
        <v>0</v>
      </c>
      <c r="O1474" s="15"/>
      <c r="P1474" s="6">
        <v>42679.478865740741</v>
      </c>
      <c r="Q1474" s="11"/>
      <c r="R1474" s="19" t="s">
        <v>6078</v>
      </c>
      <c r="S1474" s="11"/>
      <c r="T1474" s="11"/>
      <c r="U1474" s="10" t="str">
        <f>HYPERLINK("https://pbs.twimg.com/profile_images/1060301106104991745/TyKsBVy5.jpg","View")</f>
        <v>View</v>
      </c>
    </row>
    <row r="1475" spans="1:21" ht="30.6">
      <c r="A1475" s="6">
        <v>43441.487071759257</v>
      </c>
      <c r="B1475" s="7" t="str">
        <f>HYPERLINK("https://twitter.com/charly7330","@charly7330")</f>
        <v>@charly7330</v>
      </c>
      <c r="C1475" s="8" t="s">
        <v>6079</v>
      </c>
      <c r="D1475" s="9" t="s">
        <v>6080</v>
      </c>
      <c r="E1475" s="10" t="str">
        <f>HYPERLINK("https://twitter.com/charly7330/status/1070991656483201025","1070991656483201025")</f>
        <v>1070991656483201025</v>
      </c>
      <c r="F1475" s="12" t="s">
        <v>2551</v>
      </c>
      <c r="G1475" s="11"/>
      <c r="H1475" s="11"/>
      <c r="I1475" s="13">
        <v>0</v>
      </c>
      <c r="J1475" s="13">
        <v>0</v>
      </c>
      <c r="K1475" s="14" t="str">
        <f>HYPERLINK("http://twitter.com","Twitter Web Client")</f>
        <v>Twitter Web Client</v>
      </c>
      <c r="L1475" s="13">
        <v>186</v>
      </c>
      <c r="M1475" s="13">
        <v>179</v>
      </c>
      <c r="N1475" s="13">
        <v>0</v>
      </c>
      <c r="O1475" s="15"/>
      <c r="P1475" s="6">
        <v>41704.724293981482</v>
      </c>
      <c r="Q1475" s="18" t="s">
        <v>6081</v>
      </c>
      <c r="R1475" s="17"/>
      <c r="S1475" s="11"/>
      <c r="T1475" s="11"/>
      <c r="U1475" s="10" t="str">
        <f>HYPERLINK("https://pbs.twimg.com/profile_images/1047882917777723392/RJVFn6T1.jpg","View")</f>
        <v>View</v>
      </c>
    </row>
    <row r="1476" spans="1:21" ht="30.6">
      <c r="A1476" s="6">
        <v>43441.486944444448</v>
      </c>
      <c r="B1476" s="7" t="str">
        <f>HYPERLINK("https://twitter.com/CwhRoss","@CwhRoss")</f>
        <v>@CwhRoss</v>
      </c>
      <c r="C1476" s="8" t="s">
        <v>3241</v>
      </c>
      <c r="D1476" s="9" t="s">
        <v>3651</v>
      </c>
      <c r="E1476" s="10" t="str">
        <f>HYPERLINK("https://twitter.com/CwhRoss/status/1070991609435697153","1070991609435697153")</f>
        <v>1070991609435697153</v>
      </c>
      <c r="F1476" s="12" t="s">
        <v>2161</v>
      </c>
      <c r="G1476" s="11"/>
      <c r="H1476" s="11"/>
      <c r="I1476" s="13">
        <v>0</v>
      </c>
      <c r="J1476" s="13">
        <v>0</v>
      </c>
      <c r="K1476" s="14" t="str">
        <f>HYPERLINK("http://www.facebook.com/twitter","Facebook")</f>
        <v>Facebook</v>
      </c>
      <c r="L1476" s="13">
        <v>170</v>
      </c>
      <c r="M1476" s="13">
        <v>2</v>
      </c>
      <c r="N1476" s="13">
        <v>45</v>
      </c>
      <c r="O1476" s="15"/>
      <c r="P1476" s="6">
        <v>41008.781701388885</v>
      </c>
      <c r="Q1476" s="18" t="s">
        <v>3245</v>
      </c>
      <c r="R1476" s="28" t="s">
        <v>3246</v>
      </c>
      <c r="S1476" s="12" t="s">
        <v>3250</v>
      </c>
      <c r="T1476" s="11"/>
      <c r="U1476" s="10" t="str">
        <f>HYPERLINK("https://pbs.twimg.com/profile_images/2076887937/Copy_of_cerdo_con_maciza.jpg","View")</f>
        <v>View</v>
      </c>
    </row>
    <row r="1477" spans="1:21" ht="51">
      <c r="A1477" s="6">
        <v>43441.486238425925</v>
      </c>
      <c r="B1477" s="7" t="str">
        <f>HYPERLINK("https://twitter.com/MonteLuz2","@MonteLuz2")</f>
        <v>@MonteLuz2</v>
      </c>
      <c r="C1477" s="8" t="s">
        <v>4988</v>
      </c>
      <c r="D1477" s="9" t="s">
        <v>6082</v>
      </c>
      <c r="E1477" s="10" t="str">
        <f>HYPERLINK("https://twitter.com/MonteLuz2/status/1070991355239981056","1070991355239981056")</f>
        <v>1070991355239981056</v>
      </c>
      <c r="F1477" s="11"/>
      <c r="G1477" s="11"/>
      <c r="H1477" s="11"/>
      <c r="I1477" s="13">
        <v>0</v>
      </c>
      <c r="J1477" s="13">
        <v>0</v>
      </c>
      <c r="K1477" s="14" t="str">
        <f>HYPERLINK("http://twitter.com/download/iphone","Twitter for iPhone")</f>
        <v>Twitter for iPhone</v>
      </c>
      <c r="L1477" s="13">
        <v>117</v>
      </c>
      <c r="M1477" s="13">
        <v>325</v>
      </c>
      <c r="N1477" s="13">
        <v>0</v>
      </c>
      <c r="O1477" s="15"/>
      <c r="P1477" s="6">
        <v>41243.015972222223</v>
      </c>
      <c r="Q1477" s="18" t="s">
        <v>4990</v>
      </c>
      <c r="R1477" s="19" t="s">
        <v>4991</v>
      </c>
      <c r="S1477" s="11"/>
      <c r="T1477" s="11"/>
      <c r="U1477" s="10" t="str">
        <f>HYPERLINK("https://pbs.twimg.com/profile_images/2912613588/0c587ef70076ff6b090474020e1dc339.jpeg","View")</f>
        <v>View</v>
      </c>
    </row>
    <row r="1478" spans="1:21" ht="20.399999999999999">
      <c r="A1478" s="6">
        <v>43441.485625000001</v>
      </c>
      <c r="B1478" s="7" t="str">
        <f>HYPERLINK("https://twitter.com/MVidaller","@MVidaller")</f>
        <v>@MVidaller</v>
      </c>
      <c r="C1478" s="8" t="s">
        <v>4887</v>
      </c>
      <c r="D1478" s="9" t="s">
        <v>6083</v>
      </c>
      <c r="E1478" s="10" t="str">
        <f>HYPERLINK("https://twitter.com/MVidaller/status/1070991129951305728","1070991129951305728")</f>
        <v>1070991129951305728</v>
      </c>
      <c r="F1478" s="12" t="s">
        <v>6084</v>
      </c>
      <c r="G1478" s="11"/>
      <c r="H1478" s="11"/>
      <c r="I1478" s="13">
        <v>0</v>
      </c>
      <c r="J1478" s="13">
        <v>0</v>
      </c>
      <c r="K1478" s="14" t="str">
        <f>HYPERLINK("http://twitter.com","Twitter Web Client")</f>
        <v>Twitter Web Client</v>
      </c>
      <c r="L1478" s="13">
        <v>422</v>
      </c>
      <c r="M1478" s="13">
        <v>2278</v>
      </c>
      <c r="N1478" s="13">
        <v>6</v>
      </c>
      <c r="O1478" s="15"/>
      <c r="P1478" s="6">
        <v>40922.855300925927</v>
      </c>
      <c r="Q1478" s="18" t="s">
        <v>462</v>
      </c>
      <c r="R1478" s="19" t="s">
        <v>4889</v>
      </c>
      <c r="S1478" s="11"/>
      <c r="T1478" s="11"/>
      <c r="U1478" s="10" t="str">
        <f>HYPERLINK("https://pbs.twimg.com/profile_images/921120763096305664/dKmjiWJU.jpg","View")</f>
        <v>View</v>
      </c>
    </row>
    <row r="1479" spans="1:21" ht="40.799999999999997">
      <c r="A1479" s="6">
        <v>43441.484606481477</v>
      </c>
      <c r="B1479" s="7" t="str">
        <f>HYPERLINK("https://twitter.com/Tony_munoz92","@Tony_munoz92")</f>
        <v>@Tony_munoz92</v>
      </c>
      <c r="C1479" s="8" t="s">
        <v>6085</v>
      </c>
      <c r="D1479" s="9" t="s">
        <v>6086</v>
      </c>
      <c r="E1479" s="10" t="str">
        <f>HYPERLINK("https://twitter.com/Tony_munoz92/status/1070990763780120582","1070990763780120582")</f>
        <v>1070990763780120582</v>
      </c>
      <c r="F1479" s="12" t="s">
        <v>6087</v>
      </c>
      <c r="G1479" s="12" t="s">
        <v>6088</v>
      </c>
      <c r="H1479" s="11"/>
      <c r="I1479" s="13">
        <v>0</v>
      </c>
      <c r="J1479" s="13">
        <v>0</v>
      </c>
      <c r="K1479" s="14" t="str">
        <f>HYPERLINK("http://twitter.com/download/android","Twitter for Android")</f>
        <v>Twitter for Android</v>
      </c>
      <c r="L1479" s="13">
        <v>151</v>
      </c>
      <c r="M1479" s="13">
        <v>125</v>
      </c>
      <c r="N1479" s="13">
        <v>1</v>
      </c>
      <c r="O1479" s="15"/>
      <c r="P1479" s="6">
        <v>42417.779444444444</v>
      </c>
      <c r="Q1479" s="18" t="s">
        <v>3239</v>
      </c>
      <c r="R1479" s="19" t="s">
        <v>6089</v>
      </c>
      <c r="S1479" s="12" t="s">
        <v>6090</v>
      </c>
      <c r="T1479" s="11"/>
      <c r="U1479" s="10" t="str">
        <f>HYPERLINK("https://pbs.twimg.com/profile_images/976758060319494144/iJOwVby0.jpg","View")</f>
        <v>View</v>
      </c>
    </row>
    <row r="1480" spans="1:21" ht="51">
      <c r="A1480" s="6">
        <v>43441.484583333338</v>
      </c>
      <c r="B1480" s="7" t="str">
        <f>HYPERLINK("https://twitter.com/AmgelLlamas","@AmgelLlamas")</f>
        <v>@AmgelLlamas</v>
      </c>
      <c r="C1480" s="8" t="s">
        <v>2952</v>
      </c>
      <c r="D1480" s="9" t="s">
        <v>2953</v>
      </c>
      <c r="E1480" s="10" t="str">
        <f>HYPERLINK("https://twitter.com/AmgelLlamas/status/1070990755144044544","1070990755144044544")</f>
        <v>1070990755144044544</v>
      </c>
      <c r="F1480" s="12" t="s">
        <v>2955</v>
      </c>
      <c r="G1480" s="11"/>
      <c r="H1480" s="11"/>
      <c r="I1480" s="13">
        <v>0</v>
      </c>
      <c r="J1480" s="13">
        <v>0</v>
      </c>
      <c r="K1480" s="14" t="str">
        <f>HYPERLINK("http://twitter.com","Twitter Web Client")</f>
        <v>Twitter Web Client</v>
      </c>
      <c r="L1480" s="13">
        <v>82</v>
      </c>
      <c r="M1480" s="13">
        <v>623</v>
      </c>
      <c r="N1480" s="13">
        <v>0</v>
      </c>
      <c r="O1480" s="15"/>
      <c r="P1480" s="6">
        <v>43352.556354166663</v>
      </c>
      <c r="Q1480" s="18" t="s">
        <v>2957</v>
      </c>
      <c r="R1480" s="19" t="s">
        <v>2958</v>
      </c>
      <c r="S1480" s="11"/>
      <c r="T1480" s="11"/>
      <c r="U1480" s="10" t="str">
        <f>HYPERLINK("https://pbs.twimg.com/profile_images/1038758318095917056/VU2D6qHS.jpg","View")</f>
        <v>View</v>
      </c>
    </row>
    <row r="1481" spans="1:21" ht="40.799999999999997">
      <c r="A1481" s="6">
        <v>43441.484085648146</v>
      </c>
      <c r="B1481" s="7" t="str">
        <f>HYPERLINK("https://twitter.com/CrisRomate","@CrisRomate")</f>
        <v>@CrisRomate</v>
      </c>
      <c r="C1481" s="8" t="s">
        <v>6091</v>
      </c>
      <c r="D1481" s="9" t="s">
        <v>6092</v>
      </c>
      <c r="E1481" s="10" t="str">
        <f>HYPERLINK("https://twitter.com/CrisRomate/status/1070990575493619712","1070990575493619712")</f>
        <v>1070990575493619712</v>
      </c>
      <c r="F1481" s="11"/>
      <c r="G1481" s="11"/>
      <c r="H1481" s="11"/>
      <c r="I1481" s="13">
        <v>0</v>
      </c>
      <c r="J1481" s="13">
        <v>0</v>
      </c>
      <c r="K1481" s="14" t="str">
        <f>HYPERLINK("http://twitter.com/download/android","Twitter for Android")</f>
        <v>Twitter for Android</v>
      </c>
      <c r="L1481" s="13">
        <v>22</v>
      </c>
      <c r="M1481" s="13">
        <v>89</v>
      </c>
      <c r="N1481" s="13">
        <v>0</v>
      </c>
      <c r="O1481" s="15"/>
      <c r="P1481" s="6">
        <v>41367.813425925924</v>
      </c>
      <c r="Q1481" s="11"/>
      <c r="R1481" s="17"/>
      <c r="S1481" s="11"/>
      <c r="T1481" s="11"/>
      <c r="U1481" s="10" t="str">
        <f>HYPERLINK("https://pbs.twimg.com/profile_images/888399692295536641/YJG0BBsx.jpg","View")</f>
        <v>View</v>
      </c>
    </row>
    <row r="1482" spans="1:21" ht="40.799999999999997">
      <c r="A1482" s="6">
        <v>43441.483969907407</v>
      </c>
      <c r="B1482" s="7" t="str">
        <f>HYPERLINK("https://twitter.com/JoaQuim_Torre","@JoaQuim_Torre")</f>
        <v>@JoaQuim_Torre</v>
      </c>
      <c r="C1482" s="8" t="s">
        <v>5647</v>
      </c>
      <c r="D1482" s="9" t="s">
        <v>6093</v>
      </c>
      <c r="E1482" s="10" t="str">
        <f>HYPERLINK("https://twitter.com/JoaQuim_Torre/status/1070990531835117568","1070990531835117568")</f>
        <v>1070990531835117568</v>
      </c>
      <c r="F1482" s="12" t="s">
        <v>6094</v>
      </c>
      <c r="G1482" s="11"/>
      <c r="H1482" s="11"/>
      <c r="I1482" s="13">
        <v>0</v>
      </c>
      <c r="J1482" s="13">
        <v>1</v>
      </c>
      <c r="K1482" s="14" t="str">
        <f>HYPERLINK("https://mobile.twitter.com","Twitter Lite")</f>
        <v>Twitter Lite</v>
      </c>
      <c r="L1482" s="13">
        <v>273</v>
      </c>
      <c r="M1482" s="13">
        <v>110</v>
      </c>
      <c r="N1482" s="13">
        <v>1</v>
      </c>
      <c r="O1482" s="15"/>
      <c r="P1482" s="6">
        <v>43355.554432870369</v>
      </c>
      <c r="Q1482" s="18" t="s">
        <v>42</v>
      </c>
      <c r="R1482" s="19" t="s">
        <v>5649</v>
      </c>
      <c r="S1482" s="11"/>
      <c r="T1482" s="11"/>
      <c r="U1482" s="10" t="str">
        <f>HYPERLINK("https://pbs.twimg.com/profile_images/1039840344555364352/SYIMGqLS.jpg","View")</f>
        <v>View</v>
      </c>
    </row>
    <row r="1483" spans="1:21" ht="20.399999999999999">
      <c r="A1483" s="6">
        <v>43441.482418981483</v>
      </c>
      <c r="B1483" s="7" t="str">
        <f>HYPERLINK("https://twitter.com/tomas_rmcf","@tomas_rmcf")</f>
        <v>@tomas_rmcf</v>
      </c>
      <c r="C1483" s="8" t="s">
        <v>6095</v>
      </c>
      <c r="D1483" s="9" t="s">
        <v>6096</v>
      </c>
      <c r="E1483" s="10" t="str">
        <f>HYPERLINK("https://twitter.com/tomas_rmcf/status/1070989968481374208","1070989968481374208")</f>
        <v>1070989968481374208</v>
      </c>
      <c r="F1483" s="11"/>
      <c r="G1483" s="11"/>
      <c r="H1483" s="11"/>
      <c r="I1483" s="13">
        <v>0</v>
      </c>
      <c r="J1483" s="13">
        <v>0</v>
      </c>
      <c r="K1483" s="14" t="str">
        <f t="shared" ref="K1483:K1484" si="260">HYPERLINK("http://twitter.com","Twitter Web Client")</f>
        <v>Twitter Web Client</v>
      </c>
      <c r="L1483" s="13">
        <v>243</v>
      </c>
      <c r="M1483" s="13">
        <v>408</v>
      </c>
      <c r="N1483" s="13">
        <v>5</v>
      </c>
      <c r="O1483" s="15"/>
      <c r="P1483" s="6">
        <v>40447.030208333337</v>
      </c>
      <c r="Q1483" s="18" t="s">
        <v>6097</v>
      </c>
      <c r="R1483" s="19" t="s">
        <v>6098</v>
      </c>
      <c r="S1483" s="11"/>
      <c r="T1483" s="11"/>
      <c r="U1483" s="10" t="str">
        <f>HYPERLINK("https://pbs.twimg.com/profile_images/933717758008872960/A6ZmH2Bw.jpg","View")</f>
        <v>View</v>
      </c>
    </row>
    <row r="1484" spans="1:21" ht="40.799999999999997">
      <c r="A1484" s="6">
        <v>43441.482291666667</v>
      </c>
      <c r="B1484" s="7" t="str">
        <f>HYPERLINK("https://twitter.com/Alfonso_Lago","@Alfonso_Lago")</f>
        <v>@Alfonso_Lago</v>
      </c>
      <c r="C1484" s="8" t="s">
        <v>1700</v>
      </c>
      <c r="D1484" s="9" t="s">
        <v>2960</v>
      </c>
      <c r="E1484" s="10" t="str">
        <f>HYPERLINK("https://twitter.com/Alfonso_Lago/status/1070989924202090498","1070989924202090498")</f>
        <v>1070989924202090498</v>
      </c>
      <c r="F1484" s="11"/>
      <c r="G1484" s="11"/>
      <c r="H1484" s="11"/>
      <c r="I1484" s="13">
        <v>4</v>
      </c>
      <c r="J1484" s="13">
        <v>1</v>
      </c>
      <c r="K1484" s="14" t="str">
        <f t="shared" si="260"/>
        <v>Twitter Web Client</v>
      </c>
      <c r="L1484" s="13">
        <v>2052</v>
      </c>
      <c r="M1484" s="13">
        <v>1820</v>
      </c>
      <c r="N1484" s="13">
        <v>31</v>
      </c>
      <c r="O1484" s="15"/>
      <c r="P1484" s="6">
        <v>40651.50582175926</v>
      </c>
      <c r="Q1484" s="18" t="s">
        <v>1708</v>
      </c>
      <c r="R1484" s="19" t="s">
        <v>1709</v>
      </c>
      <c r="S1484" s="11"/>
      <c r="T1484" s="11"/>
      <c r="U1484" s="10" t="str">
        <f>HYPERLINK("https://pbs.twimg.com/profile_images/476290489193226240/Uax77d_1.jpeg","View")</f>
        <v>View</v>
      </c>
    </row>
    <row r="1485" spans="1:21" ht="40.799999999999997">
      <c r="A1485" s="6">
        <v>43441.481863425928</v>
      </c>
      <c r="B1485" s="7" t="str">
        <f>HYPERLINK("https://twitter.com/Rafitamerce","@Rafitamerce")</f>
        <v>@Rafitamerce</v>
      </c>
      <c r="C1485" s="8" t="s">
        <v>6099</v>
      </c>
      <c r="D1485" s="9" t="s">
        <v>6100</v>
      </c>
      <c r="E1485" s="10" t="str">
        <f>HYPERLINK("https://twitter.com/Rafitamerce/status/1070989769272950785","1070989769272950785")</f>
        <v>1070989769272950785</v>
      </c>
      <c r="F1485" s="12" t="s">
        <v>40</v>
      </c>
      <c r="G1485" s="11"/>
      <c r="H1485" s="11"/>
      <c r="I1485" s="13">
        <v>0</v>
      </c>
      <c r="J1485" s="13">
        <v>0</v>
      </c>
      <c r="K1485" s="14" t="str">
        <f>HYPERLINK("http://twitter.com/download/android","Twitter for Android")</f>
        <v>Twitter for Android</v>
      </c>
      <c r="L1485" s="13">
        <v>72</v>
      </c>
      <c r="M1485" s="13">
        <v>164</v>
      </c>
      <c r="N1485" s="13">
        <v>1</v>
      </c>
      <c r="O1485" s="15"/>
      <c r="P1485" s="6">
        <v>40564.014143518521</v>
      </c>
      <c r="Q1485" s="18" t="s">
        <v>6101</v>
      </c>
      <c r="R1485" s="19" t="s">
        <v>6102</v>
      </c>
      <c r="S1485" s="11"/>
      <c r="T1485" s="11"/>
      <c r="U1485" s="10" t="str">
        <f>HYPERLINK("https://pbs.twimg.com/profile_images/1063714691820781568/G6xwHSFu.jpg","View")</f>
        <v>View</v>
      </c>
    </row>
    <row r="1486" spans="1:21" ht="40.799999999999997">
      <c r="A1486" s="6">
        <v>43441.480358796296</v>
      </c>
      <c r="B1486" s="7" t="str">
        <f>HYPERLINK("https://twitter.com/MiercolesRepubl","@MiercolesRepubl")</f>
        <v>@MiercolesRepubl</v>
      </c>
      <c r="C1486" s="8" t="s">
        <v>2964</v>
      </c>
      <c r="D1486" s="9" t="s">
        <v>2965</v>
      </c>
      <c r="E1486" s="10" t="str">
        <f>HYPERLINK("https://twitter.com/MiercolesRepubl/status/1070989225196249089","1070989225196249089")</f>
        <v>1070989225196249089</v>
      </c>
      <c r="F1486" s="12" t="s">
        <v>2673</v>
      </c>
      <c r="G1486" s="11"/>
      <c r="H1486" s="11"/>
      <c r="I1486" s="13">
        <v>2</v>
      </c>
      <c r="J1486" s="13">
        <v>2</v>
      </c>
      <c r="K1486" s="14" t="str">
        <f>HYPERLINK("http://twitter.com","Twitter Web Client")</f>
        <v>Twitter Web Client</v>
      </c>
      <c r="L1486" s="13">
        <v>13880</v>
      </c>
      <c r="M1486" s="13">
        <v>8948</v>
      </c>
      <c r="N1486" s="13">
        <v>79</v>
      </c>
      <c r="O1486" s="15"/>
      <c r="P1486" s="6">
        <v>42483.642164351855</v>
      </c>
      <c r="Q1486" s="18" t="s">
        <v>2967</v>
      </c>
      <c r="R1486" s="19" t="s">
        <v>2968</v>
      </c>
      <c r="S1486" s="12" t="s">
        <v>2969</v>
      </c>
      <c r="T1486" s="11"/>
      <c r="U1486" s="10" t="str">
        <f>HYPERLINK("https://pbs.twimg.com/profile_images/1048987745820069888/kXHZim2c.jpg","View")</f>
        <v>View</v>
      </c>
    </row>
    <row r="1487" spans="1:21" ht="102">
      <c r="A1487" s="6">
        <v>43441.480324074073</v>
      </c>
      <c r="B1487" s="7" t="str">
        <f>HYPERLINK("https://twitter.com/eolivares85","@eolivares85")</f>
        <v>@eolivares85</v>
      </c>
      <c r="C1487" s="8" t="s">
        <v>2972</v>
      </c>
      <c r="D1487" s="9" t="s">
        <v>2973</v>
      </c>
      <c r="E1487" s="10" t="str">
        <f>HYPERLINK("https://twitter.com/eolivares85/status/1070989210629402624","1070989210629402624")</f>
        <v>1070989210629402624</v>
      </c>
      <c r="F1487" s="12" t="s">
        <v>2975</v>
      </c>
      <c r="G1487" s="12" t="s">
        <v>499</v>
      </c>
      <c r="H1487" s="11"/>
      <c r="I1487" s="13">
        <v>0</v>
      </c>
      <c r="J1487" s="13">
        <v>1</v>
      </c>
      <c r="K1487" s="14" t="str">
        <f>HYPERLINK("http://twitter.com/download/iphone","Twitter for iPhone")</f>
        <v>Twitter for iPhone</v>
      </c>
      <c r="L1487" s="13">
        <v>558</v>
      </c>
      <c r="M1487" s="13">
        <v>186</v>
      </c>
      <c r="N1487" s="13">
        <v>3</v>
      </c>
      <c r="O1487" s="15"/>
      <c r="P1487" s="6">
        <v>41027.799444444448</v>
      </c>
      <c r="Q1487" s="18" t="s">
        <v>2976</v>
      </c>
      <c r="R1487" s="19" t="s">
        <v>2977</v>
      </c>
      <c r="S1487" s="11"/>
      <c r="T1487" s="11"/>
      <c r="U1487" s="10" t="str">
        <f>HYPERLINK("https://pbs.twimg.com/profile_images/1062440205213425664/v6CsMr00.jpg","View")</f>
        <v>View</v>
      </c>
    </row>
    <row r="1488" spans="1:21" ht="40.799999999999997">
      <c r="A1488" s="6">
        <v>43441.480173611111</v>
      </c>
      <c r="B1488" s="7" t="str">
        <f>HYPERLINK("https://twitter.com/Famelica_legion","@Famelica_legion")</f>
        <v>@Famelica_legion</v>
      </c>
      <c r="C1488" s="8" t="s">
        <v>2107</v>
      </c>
      <c r="D1488" s="9" t="s">
        <v>2965</v>
      </c>
      <c r="E1488" s="10" t="str">
        <f>HYPERLINK("https://twitter.com/Famelica_legion/status/1070989154857701376","1070989154857701376")</f>
        <v>1070989154857701376</v>
      </c>
      <c r="F1488" s="12" t="s">
        <v>2673</v>
      </c>
      <c r="G1488" s="11"/>
      <c r="H1488" s="11"/>
      <c r="I1488" s="13">
        <v>1</v>
      </c>
      <c r="J1488" s="13">
        <v>2</v>
      </c>
      <c r="K1488" s="14" t="str">
        <f>HYPERLINK("http://twitter.com","Twitter Web Client")</f>
        <v>Twitter Web Client</v>
      </c>
      <c r="L1488" s="13">
        <v>57320</v>
      </c>
      <c r="M1488" s="13">
        <v>34746</v>
      </c>
      <c r="N1488" s="13">
        <v>368</v>
      </c>
      <c r="O1488" s="15"/>
      <c r="P1488" s="6">
        <v>40999.601747685185</v>
      </c>
      <c r="Q1488" s="11"/>
      <c r="R1488" s="19" t="s">
        <v>2109</v>
      </c>
      <c r="S1488" s="12" t="s">
        <v>2111</v>
      </c>
      <c r="T1488" s="11"/>
      <c r="U1488" s="10" t="str">
        <f>HYPERLINK("https://pbs.twimg.com/profile_images/875403697219620865/ni6ZDU-O.jpg","View")</f>
        <v>View</v>
      </c>
    </row>
    <row r="1489" spans="1:21" ht="71.400000000000006">
      <c r="A1489" s="6">
        <v>43441.47934027778</v>
      </c>
      <c r="B1489" s="7" t="str">
        <f>HYPERLINK("https://twitter.com/jmllfrl","@jmllfrl")</f>
        <v>@jmllfrl</v>
      </c>
      <c r="C1489" s="8" t="s">
        <v>2978</v>
      </c>
      <c r="D1489" s="9" t="s">
        <v>2979</v>
      </c>
      <c r="E1489" s="10" t="str">
        <f>HYPERLINK("https://twitter.com/jmllfrl/status/1070988854151258114","1070988854151258114")</f>
        <v>1070988854151258114</v>
      </c>
      <c r="F1489" s="12" t="s">
        <v>2981</v>
      </c>
      <c r="G1489" s="12" t="s">
        <v>2500</v>
      </c>
      <c r="H1489" s="11"/>
      <c r="I1489" s="13">
        <v>0</v>
      </c>
      <c r="J1489" s="13">
        <v>4</v>
      </c>
      <c r="K1489" s="14" t="str">
        <f>HYPERLINK("http://twitter.com/download/iphone","Twitter for iPhone")</f>
        <v>Twitter for iPhone</v>
      </c>
      <c r="L1489" s="13">
        <v>254</v>
      </c>
      <c r="M1489" s="13">
        <v>273</v>
      </c>
      <c r="N1489" s="13">
        <v>0</v>
      </c>
      <c r="O1489" s="15"/>
      <c r="P1489" s="6">
        <v>40798.833171296297</v>
      </c>
      <c r="Q1489" s="11"/>
      <c r="R1489" s="19" t="s">
        <v>2983</v>
      </c>
      <c r="S1489" s="11"/>
      <c r="T1489" s="11"/>
      <c r="U1489" s="10" t="str">
        <f>HYPERLINK("https://pbs.twimg.com/profile_images/785129829859467264/s8zSz6zZ.jpg","View")</f>
        <v>View</v>
      </c>
    </row>
    <row r="1490" spans="1:21" ht="40.799999999999997">
      <c r="A1490" s="6">
        <v>43441.479155092587</v>
      </c>
      <c r="B1490" s="7" t="str">
        <f>HYPERLINK("https://twitter.com/juansalgadoigu","@juansalgadoigu")</f>
        <v>@juansalgadoigu</v>
      </c>
      <c r="C1490" s="8" t="s">
        <v>6103</v>
      </c>
      <c r="D1490" s="9" t="s">
        <v>6104</v>
      </c>
      <c r="E1490" s="10" t="str">
        <f>HYPERLINK("https://twitter.com/juansalgadoigu/status/1070988785175924736","1070988785175924736")</f>
        <v>1070988785175924736</v>
      </c>
      <c r="F1490" s="12" t="s">
        <v>1957</v>
      </c>
      <c r="G1490" s="11"/>
      <c r="H1490" s="11"/>
      <c r="I1490" s="13">
        <v>0</v>
      </c>
      <c r="J1490" s="13">
        <v>0</v>
      </c>
      <c r="K1490" s="14" t="str">
        <f t="shared" ref="K1490:K1492" si="261">HYPERLINK("http://twitter.com","Twitter Web Client")</f>
        <v>Twitter Web Client</v>
      </c>
      <c r="L1490" s="13">
        <v>1284</v>
      </c>
      <c r="M1490" s="13">
        <v>1538</v>
      </c>
      <c r="N1490" s="13">
        <v>4</v>
      </c>
      <c r="O1490" s="15"/>
      <c r="P1490" s="6">
        <v>42054.479398148149</v>
      </c>
      <c r="Q1490" s="18" t="s">
        <v>42</v>
      </c>
      <c r="R1490" s="19" t="s">
        <v>6105</v>
      </c>
      <c r="S1490" s="11"/>
      <c r="T1490" s="11"/>
      <c r="U1490" s="10" t="str">
        <f>HYPERLINK("https://pbs.twimg.com/profile_images/1069321744538918913/Xxm1Zx4_.jpg","View")</f>
        <v>View</v>
      </c>
    </row>
    <row r="1491" spans="1:21" ht="20.399999999999999">
      <c r="A1491" s="6">
        <v>43441.479050925926</v>
      </c>
      <c r="B1491" s="7" t="str">
        <f>HYPERLINK("https://twitter.com/abuelafifi","@abuelafifi")</f>
        <v>@abuelafifi</v>
      </c>
      <c r="C1491" s="8" t="s">
        <v>6106</v>
      </c>
      <c r="D1491" s="9" t="s">
        <v>6107</v>
      </c>
      <c r="E1491" s="10" t="str">
        <f>HYPERLINK("https://twitter.com/abuelafifi/status/1070988747393646593","1070988747393646593")</f>
        <v>1070988747393646593</v>
      </c>
      <c r="F1491" s="12" t="s">
        <v>6108</v>
      </c>
      <c r="G1491" s="11"/>
      <c r="H1491" s="11"/>
      <c r="I1491" s="13">
        <v>0</v>
      </c>
      <c r="J1491" s="13">
        <v>0</v>
      </c>
      <c r="K1491" s="14" t="str">
        <f t="shared" si="261"/>
        <v>Twitter Web Client</v>
      </c>
      <c r="L1491" s="13">
        <v>370</v>
      </c>
      <c r="M1491" s="13">
        <v>594</v>
      </c>
      <c r="N1491" s="13">
        <v>27</v>
      </c>
      <c r="O1491" s="15"/>
      <c r="P1491" s="6">
        <v>41303.005196759259</v>
      </c>
      <c r="Q1491" s="18" t="s">
        <v>6109</v>
      </c>
      <c r="R1491" s="19" t="s">
        <v>6110</v>
      </c>
      <c r="S1491" s="11"/>
      <c r="T1491" s="11"/>
      <c r="U1491" s="10" t="str">
        <f>HYPERLINK("https://pbs.twimg.com/profile_images/1049738206747484164/n6GVRAJK.jpg","View")</f>
        <v>View</v>
      </c>
    </row>
    <row r="1492" spans="1:21" ht="61.2">
      <c r="A1492" s="6">
        <v>43441.474791666667</v>
      </c>
      <c r="B1492" s="7" t="str">
        <f>HYPERLINK("https://twitter.com/Kandpalleiro","@Kandpalleiro")</f>
        <v>@Kandpalleiro</v>
      </c>
      <c r="C1492" s="8" t="s">
        <v>2985</v>
      </c>
      <c r="D1492" s="9" t="s">
        <v>2986</v>
      </c>
      <c r="E1492" s="10" t="str">
        <f>HYPERLINK("https://twitter.com/Kandpalleiro/status/1070987204560936962","1070987204560936962")</f>
        <v>1070987204560936962</v>
      </c>
      <c r="F1492" s="11"/>
      <c r="G1492" s="12" t="s">
        <v>2987</v>
      </c>
      <c r="H1492" s="11"/>
      <c r="I1492" s="13">
        <v>0</v>
      </c>
      <c r="J1492" s="13">
        <v>0</v>
      </c>
      <c r="K1492" s="14" t="str">
        <f t="shared" si="261"/>
        <v>Twitter Web Client</v>
      </c>
      <c r="L1492" s="13">
        <v>265</v>
      </c>
      <c r="M1492" s="13">
        <v>260</v>
      </c>
      <c r="N1492" s="13">
        <v>20</v>
      </c>
      <c r="O1492" s="15"/>
      <c r="P1492" s="6">
        <v>39883.962858796294</v>
      </c>
      <c r="Q1492" s="18" t="s">
        <v>2988</v>
      </c>
      <c r="R1492" s="19" t="s">
        <v>2989</v>
      </c>
      <c r="S1492" s="12" t="s">
        <v>2990</v>
      </c>
      <c r="T1492" s="11"/>
      <c r="U1492" s="10" t="str">
        <f>HYPERLINK("https://pbs.twimg.com/profile_images/919501985400872960/8RX17W9E.jpg","View")</f>
        <v>View</v>
      </c>
    </row>
    <row r="1493" spans="1:21" ht="40.799999999999997">
      <c r="A1493" s="6">
        <v>43441.472048611111</v>
      </c>
      <c r="B1493" s="7" t="str">
        <f>HYPERLINK("https://twitter.com/VenturaFernan18","@VenturaFernan18")</f>
        <v>@VenturaFernan18</v>
      </c>
      <c r="C1493" s="8" t="s">
        <v>6111</v>
      </c>
      <c r="D1493" s="9" t="s">
        <v>6112</v>
      </c>
      <c r="E1493" s="10" t="str">
        <f>HYPERLINK("https://twitter.com/VenturaFernan18/status/1070986212184346624","1070986212184346624")</f>
        <v>1070986212184346624</v>
      </c>
      <c r="F1493" s="11"/>
      <c r="G1493" s="11"/>
      <c r="H1493" s="11"/>
      <c r="I1493" s="13">
        <v>1</v>
      </c>
      <c r="J1493" s="13">
        <v>1</v>
      </c>
      <c r="K1493" s="14" t="str">
        <f t="shared" ref="K1493:K1495" si="262">HYPERLINK("http://twitter.com/download/android","Twitter for Android")</f>
        <v>Twitter for Android</v>
      </c>
      <c r="L1493" s="13">
        <v>13</v>
      </c>
      <c r="M1493" s="13">
        <v>103</v>
      </c>
      <c r="N1493" s="13">
        <v>0</v>
      </c>
      <c r="O1493" s="15"/>
      <c r="P1493" s="6">
        <v>43394.808020833334</v>
      </c>
      <c r="Q1493" s="18" t="s">
        <v>6113</v>
      </c>
      <c r="R1493" s="19" t="s">
        <v>6114</v>
      </c>
      <c r="S1493" s="11"/>
      <c r="T1493" s="11"/>
      <c r="U1493" s="10" t="str">
        <f>HYPERLINK("https://pbs.twimg.com/profile_images/1054080574162456576/UAXgCaZG.jpg","View")</f>
        <v>View</v>
      </c>
    </row>
    <row r="1494" spans="1:21" ht="61.2">
      <c r="A1494" s="6">
        <v>43441.468888888892</v>
      </c>
      <c r="B1494" s="7" t="str">
        <f>HYPERLINK("https://twitter.com/condemor_","@condemor_")</f>
        <v>@condemor_</v>
      </c>
      <c r="C1494" s="8" t="s">
        <v>2991</v>
      </c>
      <c r="D1494" s="9" t="s">
        <v>2992</v>
      </c>
      <c r="E1494" s="10" t="str">
        <f>HYPERLINK("https://twitter.com/condemor_/status/1070985067802095616","1070985067802095616")</f>
        <v>1070985067802095616</v>
      </c>
      <c r="F1494" s="11"/>
      <c r="G1494" s="11"/>
      <c r="H1494" s="11"/>
      <c r="I1494" s="13">
        <v>0</v>
      </c>
      <c r="J1494" s="13">
        <v>0</v>
      </c>
      <c r="K1494" s="14" t="str">
        <f t="shared" si="262"/>
        <v>Twitter for Android</v>
      </c>
      <c r="L1494" s="13">
        <v>76</v>
      </c>
      <c r="M1494" s="13">
        <v>73</v>
      </c>
      <c r="N1494" s="13">
        <v>0</v>
      </c>
      <c r="O1494" s="15"/>
      <c r="P1494" s="6">
        <v>43181.66909722222</v>
      </c>
      <c r="Q1494" s="18" t="s">
        <v>2993</v>
      </c>
      <c r="R1494" s="19" t="s">
        <v>2994</v>
      </c>
      <c r="S1494" s="11"/>
      <c r="T1494" s="11"/>
      <c r="U1494" s="10" t="str">
        <f>HYPERLINK("https://pbs.twimg.com/profile_images/1065732335029510145/PC3-mZjJ.jpg","View")</f>
        <v>View</v>
      </c>
    </row>
    <row r="1495" spans="1:21" ht="40.799999999999997">
      <c r="A1495" s="6">
        <v>43441.468634259261</v>
      </c>
      <c r="B1495" s="7" t="str">
        <f>HYPERLINK("https://twitter.com/RosaCoboBedia","@RosaCoboBedia")</f>
        <v>@RosaCoboBedia</v>
      </c>
      <c r="C1495" s="8" t="s">
        <v>2995</v>
      </c>
      <c r="D1495" s="9" t="s">
        <v>2996</v>
      </c>
      <c r="E1495" s="10" t="str">
        <f>HYPERLINK("https://twitter.com/RosaCoboBedia/status/1070984976055844865","1070984976055844865")</f>
        <v>1070984976055844865</v>
      </c>
      <c r="F1495" s="11"/>
      <c r="G1495" s="11"/>
      <c r="H1495" s="11"/>
      <c r="I1495" s="13">
        <v>131</v>
      </c>
      <c r="J1495" s="13">
        <v>285</v>
      </c>
      <c r="K1495" s="14" t="str">
        <f t="shared" si="262"/>
        <v>Twitter for Android</v>
      </c>
      <c r="L1495" s="13">
        <v>6546</v>
      </c>
      <c r="M1495" s="13">
        <v>812</v>
      </c>
      <c r="N1495" s="13">
        <v>111</v>
      </c>
      <c r="O1495" s="15"/>
      <c r="P1495" s="6">
        <v>41428.640902777777</v>
      </c>
      <c r="Q1495" s="11"/>
      <c r="R1495" s="19" t="s">
        <v>2997</v>
      </c>
      <c r="S1495" s="11"/>
      <c r="T1495" s="11"/>
      <c r="U1495" s="10" t="str">
        <f>HYPERLINK("https://pbs.twimg.com/profile_images/1065710578705010688/U345T9t8.jpg","View")</f>
        <v>View</v>
      </c>
    </row>
    <row r="1496" spans="1:21" ht="51">
      <c r="A1496" s="6">
        <v>43441.468634259261</v>
      </c>
      <c r="B1496" s="7" t="str">
        <f>HYPERLINK("https://twitter.com/MarioOrtega","@MarioOrtega")</f>
        <v>@MarioOrtega</v>
      </c>
      <c r="C1496" s="8" t="s">
        <v>2998</v>
      </c>
      <c r="D1496" s="9" t="s">
        <v>2999</v>
      </c>
      <c r="E1496" s="10" t="str">
        <f>HYPERLINK("https://twitter.com/MarioOrtega/status/1070984973887393792","1070984973887393792")</f>
        <v>1070984973887393792</v>
      </c>
      <c r="F1496" s="12" t="s">
        <v>3000</v>
      </c>
      <c r="G1496" s="11"/>
      <c r="H1496" s="11"/>
      <c r="I1496" s="13">
        <v>7</v>
      </c>
      <c r="J1496" s="13">
        <v>10</v>
      </c>
      <c r="K1496" s="14" t="str">
        <f>HYPERLINK("http://www.facebook.com/twitter","Facebook")</f>
        <v>Facebook</v>
      </c>
      <c r="L1496" s="13">
        <v>898</v>
      </c>
      <c r="M1496" s="13">
        <v>850</v>
      </c>
      <c r="N1496" s="13">
        <v>50</v>
      </c>
      <c r="O1496" s="15"/>
      <c r="P1496" s="6">
        <v>39679.798738425925</v>
      </c>
      <c r="Q1496" s="18" t="s">
        <v>3001</v>
      </c>
      <c r="R1496" s="19" t="s">
        <v>3002</v>
      </c>
      <c r="S1496" s="12" t="s">
        <v>3003</v>
      </c>
      <c r="T1496" s="11"/>
      <c r="U1496" s="10" t="str">
        <f>HYPERLINK("https://pbs.twimg.com/profile_images/1058621517364449280/vMhyqhgp.jpg","View")</f>
        <v>View</v>
      </c>
    </row>
    <row r="1497" spans="1:21" ht="40.799999999999997">
      <c r="A1497" s="6">
        <v>43441.468194444446</v>
      </c>
      <c r="B1497" s="7" t="str">
        <f>HYPERLINK("https://twitter.com/jaimeberenguer","@jaimeberenguer")</f>
        <v>@jaimeberenguer</v>
      </c>
      <c r="C1497" s="8" t="s">
        <v>1368</v>
      </c>
      <c r="D1497" s="9" t="s">
        <v>3004</v>
      </c>
      <c r="E1497" s="10" t="str">
        <f>HYPERLINK("https://twitter.com/jaimeberenguer/status/1070984816244518913","1070984816244518913")</f>
        <v>1070984816244518913</v>
      </c>
      <c r="F1497" s="12" t="s">
        <v>403</v>
      </c>
      <c r="G1497" s="11"/>
      <c r="H1497" s="11"/>
      <c r="I1497" s="13">
        <v>66</v>
      </c>
      <c r="J1497" s="13">
        <v>58</v>
      </c>
      <c r="K1497" s="14" t="str">
        <f>HYPERLINK("http://twitter.com/download/iphone","Twitter for iPhone")</f>
        <v>Twitter for iPhone</v>
      </c>
      <c r="L1497" s="13">
        <v>14564</v>
      </c>
      <c r="M1497" s="13">
        <v>2724</v>
      </c>
      <c r="N1497" s="13">
        <v>211</v>
      </c>
      <c r="O1497" s="15"/>
      <c r="P1497" s="6">
        <v>40040.424120370371</v>
      </c>
      <c r="Q1497" s="11"/>
      <c r="R1497" s="19" t="s">
        <v>1370</v>
      </c>
      <c r="S1497" s="11"/>
      <c r="T1497" s="11"/>
      <c r="U1497" s="10" t="str">
        <f>HYPERLINK("https://pbs.twimg.com/profile_images/1048222448372604936/LV72DRWb.jpg","View")</f>
        <v>View</v>
      </c>
    </row>
    <row r="1498" spans="1:21" ht="30.6">
      <c r="A1498" s="6">
        <v>43441.467800925922</v>
      </c>
      <c r="B1498" s="7" t="str">
        <f>HYPERLINK("https://twitter.com/Julianvirome","@Julianvirome")</f>
        <v>@Julianvirome</v>
      </c>
      <c r="C1498" s="8" t="s">
        <v>6115</v>
      </c>
      <c r="D1498" s="9" t="s">
        <v>6116</v>
      </c>
      <c r="E1498" s="10" t="str">
        <f>HYPERLINK("https://twitter.com/Julianvirome/status/1070984670635016192","1070984670635016192")</f>
        <v>1070984670635016192</v>
      </c>
      <c r="F1498" s="11"/>
      <c r="G1498" s="11"/>
      <c r="H1498" s="11"/>
      <c r="I1498" s="13">
        <v>1</v>
      </c>
      <c r="J1498" s="13">
        <v>0</v>
      </c>
      <c r="K1498" s="14" t="str">
        <f>HYPERLINK("http://twitter.com/download/android","Twitter for Android")</f>
        <v>Twitter for Android</v>
      </c>
      <c r="L1498" s="13">
        <v>2630</v>
      </c>
      <c r="M1498" s="13">
        <v>4994</v>
      </c>
      <c r="N1498" s="13">
        <v>23</v>
      </c>
      <c r="O1498" s="15"/>
      <c r="P1498" s="6">
        <v>40630.875810185185</v>
      </c>
      <c r="Q1498" s="18" t="s">
        <v>307</v>
      </c>
      <c r="R1498" s="19" t="s">
        <v>6117</v>
      </c>
      <c r="S1498" s="11"/>
      <c r="T1498" s="11"/>
      <c r="U1498" s="10" t="str">
        <f>HYPERLINK("https://pbs.twimg.com/profile_images/1015475281803530241/aBROVKXy.jpg","View")</f>
        <v>View</v>
      </c>
    </row>
    <row r="1499" spans="1:21" ht="40.799999999999997">
      <c r="A1499" s="6">
        <v>43441.467673611114</v>
      </c>
      <c r="B1499" s="7" t="str">
        <f>HYPERLINK("https://twitter.com/fabiolanavarro4","@fabiolanavarro4")</f>
        <v>@fabiolanavarro4</v>
      </c>
      <c r="C1499" s="8" t="s">
        <v>6118</v>
      </c>
      <c r="D1499" s="9" t="s">
        <v>6119</v>
      </c>
      <c r="E1499" s="10" t="str">
        <f>HYPERLINK("https://twitter.com/fabiolanavarro4/status/1070984625898565632","1070984625898565632")</f>
        <v>1070984625898565632</v>
      </c>
      <c r="F1499" s="11"/>
      <c r="G1499" s="11"/>
      <c r="H1499" s="11"/>
      <c r="I1499" s="13">
        <v>0</v>
      </c>
      <c r="J1499" s="13">
        <v>0</v>
      </c>
      <c r="K1499" s="14" t="str">
        <f>HYPERLINK("http://twitter.com","Twitter Web Client")</f>
        <v>Twitter Web Client</v>
      </c>
      <c r="L1499" s="13">
        <v>1198</v>
      </c>
      <c r="M1499" s="13">
        <v>1139</v>
      </c>
      <c r="N1499" s="13">
        <v>18</v>
      </c>
      <c r="O1499" s="15"/>
      <c r="P1499" s="6">
        <v>40886.298148148147</v>
      </c>
      <c r="Q1499" s="18" t="s">
        <v>5211</v>
      </c>
      <c r="R1499" s="19" t="s">
        <v>6120</v>
      </c>
      <c r="S1499" s="11"/>
      <c r="T1499" s="11"/>
      <c r="U1499" s="10" t="str">
        <f>HYPERLINK("https://pbs.twimg.com/profile_images/807561090854961152/knEBOjB3.jpg","View")</f>
        <v>View</v>
      </c>
    </row>
    <row r="1500" spans="1:21" ht="51">
      <c r="A1500" s="6">
        <v>43441.467314814814</v>
      </c>
      <c r="B1500" s="7" t="str">
        <f>HYPERLINK("https://twitter.com/1611963","@1611963")</f>
        <v>@1611963</v>
      </c>
      <c r="C1500" s="8" t="s">
        <v>6121</v>
      </c>
      <c r="D1500" s="9" t="s">
        <v>6122</v>
      </c>
      <c r="E1500" s="10" t="str">
        <f>HYPERLINK("https://twitter.com/1611963/status/1070984494835032065","1070984494835032065")</f>
        <v>1070984494835032065</v>
      </c>
      <c r="F1500" s="11"/>
      <c r="G1500" s="11"/>
      <c r="H1500" s="11"/>
      <c r="I1500" s="13">
        <v>0</v>
      </c>
      <c r="J1500" s="13">
        <v>0</v>
      </c>
      <c r="K1500" s="14" t="str">
        <f t="shared" ref="K1500:K1501" si="263">HYPERLINK("http://twitter.com/download/android","Twitter for Android")</f>
        <v>Twitter for Android</v>
      </c>
      <c r="L1500" s="13">
        <v>31</v>
      </c>
      <c r="M1500" s="13">
        <v>84</v>
      </c>
      <c r="N1500" s="13">
        <v>1</v>
      </c>
      <c r="O1500" s="15"/>
      <c r="P1500" s="6">
        <v>40738.805266203708</v>
      </c>
      <c r="Q1500" s="11"/>
      <c r="R1500" s="17"/>
      <c r="S1500" s="11"/>
      <c r="T1500" s="11"/>
      <c r="U1500" s="10" t="str">
        <f>HYPERLINK("https://pbs.twimg.com/profile_images/668332351315976192/Pvt_Z48e.jpg","View")</f>
        <v>View</v>
      </c>
    </row>
    <row r="1501" spans="1:21" ht="20.399999999999999">
      <c r="A1501" s="6">
        <v>43441.467314814814</v>
      </c>
      <c r="B1501" s="7" t="str">
        <f>HYPERLINK("https://twitter.com/LuisMartinLP","@LuisMartinLP")</f>
        <v>@LuisMartinLP</v>
      </c>
      <c r="C1501" s="8" t="s">
        <v>6123</v>
      </c>
      <c r="D1501" s="9" t="s">
        <v>39</v>
      </c>
      <c r="E1501" s="10" t="str">
        <f>HYPERLINK("https://twitter.com/LuisMartinLP/status/1070984494302330880","1070984494302330880")</f>
        <v>1070984494302330880</v>
      </c>
      <c r="F1501" s="12" t="s">
        <v>40</v>
      </c>
      <c r="G1501" s="11"/>
      <c r="H1501" s="11"/>
      <c r="I1501" s="13">
        <v>1</v>
      </c>
      <c r="J1501" s="13">
        <v>1</v>
      </c>
      <c r="K1501" s="14" t="str">
        <f t="shared" si="263"/>
        <v>Twitter for Android</v>
      </c>
      <c r="L1501" s="13">
        <v>1014</v>
      </c>
      <c r="M1501" s="13">
        <v>2782</v>
      </c>
      <c r="N1501" s="13">
        <v>114</v>
      </c>
      <c r="O1501" s="15"/>
      <c r="P1501" s="6">
        <v>40791.839687500003</v>
      </c>
      <c r="Q1501" s="18" t="s">
        <v>5003</v>
      </c>
      <c r="R1501" s="19" t="s">
        <v>6124</v>
      </c>
      <c r="S1501" s="12" t="s">
        <v>6125</v>
      </c>
      <c r="T1501" s="11"/>
      <c r="U1501" s="10" t="str">
        <f>HYPERLINK("https://pbs.twimg.com/profile_images/1048471386824613888/Z38Wkt_d.jpg","View")</f>
        <v>View</v>
      </c>
    </row>
    <row r="1502" spans="1:21" ht="91.8">
      <c r="A1502" s="6">
        <v>43441.467199074075</v>
      </c>
      <c r="B1502" s="7" t="str">
        <f>HYPERLINK("https://twitter.com/sepaesbi","@sepaesbi")</f>
        <v>@sepaesbi</v>
      </c>
      <c r="C1502" s="8" t="s">
        <v>284</v>
      </c>
      <c r="D1502" s="9" t="s">
        <v>3007</v>
      </c>
      <c r="E1502" s="10" t="str">
        <f>HYPERLINK("https://twitter.com/sepaesbi/status/1070984452682235905","1070984452682235905")</f>
        <v>1070984452682235905</v>
      </c>
      <c r="F1502" s="18" t="s">
        <v>3008</v>
      </c>
      <c r="G1502" s="11"/>
      <c r="H1502" s="11"/>
      <c r="I1502" s="13">
        <v>0</v>
      </c>
      <c r="J1502" s="13">
        <v>0</v>
      </c>
      <c r="K1502" s="14" t="str">
        <f>HYPERLINK("https://mobile.twitter.com","Twitter Lite")</f>
        <v>Twitter Lite</v>
      </c>
      <c r="L1502" s="13">
        <v>69</v>
      </c>
      <c r="M1502" s="13">
        <v>278</v>
      </c>
      <c r="N1502" s="13">
        <v>1</v>
      </c>
      <c r="O1502" s="15"/>
      <c r="P1502" s="6">
        <v>41724.721539351856</v>
      </c>
      <c r="Q1502" s="11"/>
      <c r="R1502" s="17"/>
      <c r="S1502" s="11"/>
      <c r="T1502" s="11"/>
      <c r="U1502" s="16" t="s">
        <v>191</v>
      </c>
    </row>
    <row r="1503" spans="1:21" ht="40.799999999999997">
      <c r="A1503" s="6">
        <v>43441.464502314819</v>
      </c>
      <c r="B1503" s="7" t="str">
        <f>HYPERLINK("https://twitter.com/gallardotoni99","@gallardotoni99")</f>
        <v>@gallardotoni99</v>
      </c>
      <c r="C1503" s="8" t="s">
        <v>6126</v>
      </c>
      <c r="D1503" s="9" t="s">
        <v>6127</v>
      </c>
      <c r="E1503" s="10" t="str">
        <f>HYPERLINK("https://twitter.com/gallardotoni99/status/1070983478274113537","1070983478274113537")</f>
        <v>1070983478274113537</v>
      </c>
      <c r="F1503" s="12" t="s">
        <v>6128</v>
      </c>
      <c r="G1503" s="11"/>
      <c r="H1503" s="11"/>
      <c r="I1503" s="13">
        <v>0</v>
      </c>
      <c r="J1503" s="13">
        <v>0</v>
      </c>
      <c r="K1503" s="14" t="str">
        <f>HYPERLINK("http://www.facebook.com/twitter","Facebook")</f>
        <v>Facebook</v>
      </c>
      <c r="L1503" s="13">
        <v>118</v>
      </c>
      <c r="M1503" s="13">
        <v>119</v>
      </c>
      <c r="N1503" s="13">
        <v>1</v>
      </c>
      <c r="O1503" s="15"/>
      <c r="P1503" s="6">
        <v>40665.630798611113</v>
      </c>
      <c r="Q1503" s="18" t="s">
        <v>404</v>
      </c>
      <c r="R1503" s="19" t="s">
        <v>6129</v>
      </c>
      <c r="S1503" s="11"/>
      <c r="T1503" s="11"/>
      <c r="U1503" s="10" t="str">
        <f>HYPERLINK("https://pbs.twimg.com/profile_images/683020120936058881/15rB4_Q5.jpg","View")</f>
        <v>View</v>
      </c>
    </row>
    <row r="1504" spans="1:21" ht="61.2">
      <c r="A1504" s="6">
        <v>43441.464386574073</v>
      </c>
      <c r="B1504" s="7" t="str">
        <f>HYPERLINK("https://twitter.com/PdeSamos","@PdeSamos")</f>
        <v>@PdeSamos</v>
      </c>
      <c r="C1504" s="8" t="s">
        <v>1432</v>
      </c>
      <c r="D1504" s="9" t="s">
        <v>6130</v>
      </c>
      <c r="E1504" s="10" t="str">
        <f>HYPERLINK("https://twitter.com/PdeSamos/status/1070983434212950016","1070983434212950016")</f>
        <v>1070983434212950016</v>
      </c>
      <c r="F1504" s="12" t="s">
        <v>5842</v>
      </c>
      <c r="G1504" s="11"/>
      <c r="H1504" s="11"/>
      <c r="I1504" s="13">
        <v>0</v>
      </c>
      <c r="J1504" s="13">
        <v>0</v>
      </c>
      <c r="K1504" s="14" t="str">
        <f>HYPERLINK("http://republico.ddns.net","App Libertad PdeSamos")</f>
        <v>App Libertad PdeSamos</v>
      </c>
      <c r="L1504" s="13">
        <v>5398</v>
      </c>
      <c r="M1504" s="13">
        <v>5441</v>
      </c>
      <c r="N1504" s="13">
        <v>12</v>
      </c>
      <c r="O1504" s="15"/>
      <c r="P1504" s="6">
        <v>42889.820567129631</v>
      </c>
      <c r="Q1504" s="18" t="s">
        <v>1336</v>
      </c>
      <c r="R1504" s="19" t="s">
        <v>1438</v>
      </c>
      <c r="S1504" s="11"/>
      <c r="T1504" s="11"/>
      <c r="U1504" s="10" t="str">
        <f>HYPERLINK("https://pbs.twimg.com/profile_images/871063742003511296/xK2IYbrO.jpg","View")</f>
        <v>View</v>
      </c>
    </row>
    <row r="1505" spans="1:21" ht="102">
      <c r="A1505" s="6">
        <v>43441.463414351849</v>
      </c>
      <c r="B1505" s="7" t="str">
        <f>HYPERLINK("https://twitter.com/ManuelCaraVal","@ManuelCaraVal")</f>
        <v>@ManuelCaraVal</v>
      </c>
      <c r="C1505" s="8" t="s">
        <v>900</v>
      </c>
      <c r="D1505" s="9" t="s">
        <v>3012</v>
      </c>
      <c r="E1505" s="10" t="str">
        <f>HYPERLINK("https://twitter.com/ManuelCaraVal/status/1070983083481014272","1070983083481014272")</f>
        <v>1070983083481014272</v>
      </c>
      <c r="F1505" s="12" t="s">
        <v>2975</v>
      </c>
      <c r="G1505" s="12" t="s">
        <v>499</v>
      </c>
      <c r="H1505" s="11"/>
      <c r="I1505" s="13">
        <v>1</v>
      </c>
      <c r="J1505" s="13">
        <v>1</v>
      </c>
      <c r="K1505" s="14" t="str">
        <f>HYPERLINK("http://twitter.com/download/iphone","Twitter for iPhone")</f>
        <v>Twitter for iPhone</v>
      </c>
      <c r="L1505" s="13">
        <v>320</v>
      </c>
      <c r="M1505" s="13">
        <v>255</v>
      </c>
      <c r="N1505" s="13">
        <v>2</v>
      </c>
      <c r="O1505" s="15"/>
      <c r="P1505" s="6">
        <v>40571.391967592594</v>
      </c>
      <c r="Q1505" s="18" t="s">
        <v>680</v>
      </c>
      <c r="R1505" s="19" t="s">
        <v>3013</v>
      </c>
      <c r="S1505" s="11"/>
      <c r="T1505" s="11"/>
      <c r="U1505" s="10" t="str">
        <f>HYPERLINK("https://pbs.twimg.com/profile_images/1070827466346901504/mi7nfQNF.jpg","View")</f>
        <v>View</v>
      </c>
    </row>
    <row r="1506" spans="1:21" ht="40.799999999999997">
      <c r="A1506" s="6">
        <v>43441.462847222225</v>
      </c>
      <c r="B1506" s="7" t="str">
        <f>HYPERLINK("https://twitter.com/fgarrobo","@fgarrobo")</f>
        <v>@fgarrobo</v>
      </c>
      <c r="C1506" s="8" t="s">
        <v>6131</v>
      </c>
      <c r="D1506" s="9" t="s">
        <v>6132</v>
      </c>
      <c r="E1506" s="10" t="str">
        <f>HYPERLINK("https://twitter.com/fgarrobo/status/1070982877557481473","1070982877557481473")</f>
        <v>1070982877557481473</v>
      </c>
      <c r="F1506" s="11"/>
      <c r="G1506" s="11"/>
      <c r="H1506" s="11"/>
      <c r="I1506" s="13">
        <v>0</v>
      </c>
      <c r="J1506" s="13">
        <v>2</v>
      </c>
      <c r="K1506" s="14" t="str">
        <f>HYPERLINK("http://twitter.com/download/android","Twitter for Android")</f>
        <v>Twitter for Android</v>
      </c>
      <c r="L1506" s="13">
        <v>4308</v>
      </c>
      <c r="M1506" s="13">
        <v>3404</v>
      </c>
      <c r="N1506" s="13">
        <v>181</v>
      </c>
      <c r="O1506" s="15"/>
      <c r="P1506" s="6">
        <v>40212.747407407405</v>
      </c>
      <c r="Q1506" s="18" t="s">
        <v>6133</v>
      </c>
      <c r="R1506" s="19" t="s">
        <v>6134</v>
      </c>
      <c r="S1506" s="12" t="s">
        <v>6135</v>
      </c>
      <c r="T1506" s="11"/>
      <c r="U1506" s="10" t="str">
        <f>HYPERLINK("https://pbs.twimg.com/profile_images/991450027351519232/h1W-mYQT.jpg","View")</f>
        <v>View</v>
      </c>
    </row>
    <row r="1507" spans="1:21" ht="51">
      <c r="A1507" s="6">
        <v>43441.462766203702</v>
      </c>
      <c r="B1507" s="7" t="str">
        <f>HYPERLINK("https://twitter.com/AdeSiracusa","@AdeSiracusa")</f>
        <v>@AdeSiracusa</v>
      </c>
      <c r="C1507" s="8" t="s">
        <v>682</v>
      </c>
      <c r="D1507" s="9" t="s">
        <v>6136</v>
      </c>
      <c r="E1507" s="10" t="str">
        <f>HYPERLINK("https://twitter.com/AdeSiracusa/status/1070982846016339968","1070982846016339968")</f>
        <v>1070982846016339968</v>
      </c>
      <c r="F1507" s="12" t="s">
        <v>5842</v>
      </c>
      <c r="G1507" s="11"/>
      <c r="H1507" s="11"/>
      <c r="I1507" s="13">
        <v>0</v>
      </c>
      <c r="J1507" s="13">
        <v>0</v>
      </c>
      <c r="K1507" s="14" t="str">
        <f>HYPERLINK("http://www.republicosvenezuela.com/","AdeSiracusa")</f>
        <v>AdeSiracusa</v>
      </c>
      <c r="L1507" s="13">
        <v>4091</v>
      </c>
      <c r="M1507" s="13">
        <v>4122</v>
      </c>
      <c r="N1507" s="13">
        <v>12</v>
      </c>
      <c r="O1507" s="15"/>
      <c r="P1507" s="6">
        <v>42958.576388888891</v>
      </c>
      <c r="Q1507" s="18" t="s">
        <v>689</v>
      </c>
      <c r="R1507" s="19" t="s">
        <v>690</v>
      </c>
      <c r="S1507" s="11"/>
      <c r="T1507" s="11"/>
      <c r="U1507" s="10" t="str">
        <f>HYPERLINK("https://pbs.twimg.com/profile_images/895978354591105024/x2wNXrPl.jpg","View")</f>
        <v>View</v>
      </c>
    </row>
    <row r="1508" spans="1:21" ht="30.6">
      <c r="A1508" s="6">
        <v>43441.46266203704</v>
      </c>
      <c r="B1508" s="7" t="str">
        <f>HYPERLINK("https://twitter.com/abarea_es","@abarea_es")</f>
        <v>@abarea_es</v>
      </c>
      <c r="C1508" s="8" t="s">
        <v>3017</v>
      </c>
      <c r="D1508" s="9" t="s">
        <v>3018</v>
      </c>
      <c r="E1508" s="10" t="str">
        <f>HYPERLINK("https://twitter.com/abarea_es/status/1070982809265815553","1070982809265815553")</f>
        <v>1070982809265815553</v>
      </c>
      <c r="F1508" s="11"/>
      <c r="G1508" s="11"/>
      <c r="H1508" s="11"/>
      <c r="I1508" s="13">
        <v>0</v>
      </c>
      <c r="J1508" s="13">
        <v>0</v>
      </c>
      <c r="K1508" s="14" t="str">
        <f>HYPERLINK("http://twitter.com/#!/download/ipad","Twitter for iPad")</f>
        <v>Twitter for iPad</v>
      </c>
      <c r="L1508" s="13">
        <v>1743</v>
      </c>
      <c r="M1508" s="13">
        <v>2372</v>
      </c>
      <c r="N1508" s="13">
        <v>18</v>
      </c>
      <c r="O1508" s="15"/>
      <c r="P1508" s="6">
        <v>40645.854930555557</v>
      </c>
      <c r="Q1508" s="18" t="s">
        <v>2896</v>
      </c>
      <c r="R1508" s="19" t="s">
        <v>3021</v>
      </c>
      <c r="S1508" s="11"/>
      <c r="T1508" s="11"/>
      <c r="U1508" s="10" t="str">
        <f>HYPERLINK("https://pbs.twimg.com/profile_images/938839925201555462/61j9MW37.jpg","View")</f>
        <v>View</v>
      </c>
    </row>
    <row r="1509" spans="1:21" ht="40.799999999999997">
      <c r="A1509" s="6">
        <v>43441.462326388893</v>
      </c>
      <c r="B1509" s="7" t="str">
        <f>HYPERLINK("https://twitter.com/israelico","@israelico")</f>
        <v>@israelico</v>
      </c>
      <c r="C1509" s="8" t="s">
        <v>293</v>
      </c>
      <c r="D1509" s="9" t="s">
        <v>3314</v>
      </c>
      <c r="E1509" s="10" t="str">
        <f>HYPERLINK("https://twitter.com/israelico/status/1070982689979805697","1070982689979805697")</f>
        <v>1070982689979805697</v>
      </c>
      <c r="F1509" s="12" t="s">
        <v>40</v>
      </c>
      <c r="G1509" s="11"/>
      <c r="H1509" s="11"/>
      <c r="I1509" s="13">
        <v>0</v>
      </c>
      <c r="J1509" s="13">
        <v>0</v>
      </c>
      <c r="K1509" s="14" t="str">
        <f>HYPERLINK("http://twitter.com/download/iphone","Twitter for iPhone")</f>
        <v>Twitter for iPhone</v>
      </c>
      <c r="L1509" s="13">
        <v>2587</v>
      </c>
      <c r="M1509" s="13">
        <v>948</v>
      </c>
      <c r="N1509" s="13">
        <v>62</v>
      </c>
      <c r="O1509" s="15"/>
      <c r="P1509" s="6">
        <v>40395.77003472222</v>
      </c>
      <c r="Q1509" s="18" t="s">
        <v>299</v>
      </c>
      <c r="R1509" s="19" t="s">
        <v>300</v>
      </c>
      <c r="S1509" s="12" t="s">
        <v>301</v>
      </c>
      <c r="T1509" s="11"/>
      <c r="U1509" s="10" t="str">
        <f>HYPERLINK("https://pbs.twimg.com/profile_images/1063559222133174272/PhNHBll3.jpg","View")</f>
        <v>View</v>
      </c>
    </row>
    <row r="1510" spans="1:21" ht="51">
      <c r="A1510" s="6">
        <v>43441.462002314816</v>
      </c>
      <c r="B1510" s="7" t="str">
        <f>HYPERLINK("https://twitter.com/PBMarbeMalaga","@PBMarbeMalaga")</f>
        <v>@PBMarbeMalaga</v>
      </c>
      <c r="C1510" s="8" t="s">
        <v>1635</v>
      </c>
      <c r="D1510" s="9" t="s">
        <v>6137</v>
      </c>
      <c r="E1510" s="10" t="str">
        <f>HYPERLINK("https://twitter.com/PBMarbeMalaga/status/1070982569997549569","1070982569997549569")</f>
        <v>1070982569997549569</v>
      </c>
      <c r="F1510" s="12" t="s">
        <v>5842</v>
      </c>
      <c r="G1510" s="11"/>
      <c r="H1510" s="11"/>
      <c r="I1510" s="13">
        <v>0</v>
      </c>
      <c r="J1510" s="13">
        <v>0</v>
      </c>
      <c r="K1510" s="14" t="str">
        <f>HYPERLINK("https://javitang.ddns.net","PBMarbeMalaga")</f>
        <v>PBMarbeMalaga</v>
      </c>
      <c r="L1510" s="13">
        <v>1316</v>
      </c>
      <c r="M1510" s="13">
        <v>1358</v>
      </c>
      <c r="N1510" s="13">
        <v>2</v>
      </c>
      <c r="O1510" s="15"/>
      <c r="P1510" s="6">
        <v>43149.814074074078</v>
      </c>
      <c r="Q1510" s="18" t="s">
        <v>1637</v>
      </c>
      <c r="R1510" s="19" t="s">
        <v>1638</v>
      </c>
      <c r="S1510" s="11"/>
      <c r="T1510" s="11"/>
      <c r="U1510" s="10" t="str">
        <f>HYPERLINK("https://pbs.twimg.com/profile_images/965296691145531392/sAFnfUu2.jpg","View")</f>
        <v>View</v>
      </c>
    </row>
    <row r="1511" spans="1:21" ht="40.799999999999997">
      <c r="A1511" s="6">
        <v>43441.461608796293</v>
      </c>
      <c r="B1511" s="7" t="str">
        <f>HYPERLINK("https://twitter.com/migupelo2","@migupelo2")</f>
        <v>@migupelo2</v>
      </c>
      <c r="C1511" s="8" t="s">
        <v>1976</v>
      </c>
      <c r="D1511" s="9" t="s">
        <v>3022</v>
      </c>
      <c r="E1511" s="10" t="str">
        <f>HYPERLINK("https://twitter.com/migupelo2/status/1070982430432088065","1070982430432088065")</f>
        <v>1070982430432088065</v>
      </c>
      <c r="F1511" s="12" t="s">
        <v>3025</v>
      </c>
      <c r="G1511" s="11"/>
      <c r="H1511" s="11"/>
      <c r="I1511" s="13">
        <v>0</v>
      </c>
      <c r="J1511" s="13">
        <v>0</v>
      </c>
      <c r="K1511" s="14" t="str">
        <f>HYPERLINK("http://twitter.com","Twitter Web Client")</f>
        <v>Twitter Web Client</v>
      </c>
      <c r="L1511" s="13">
        <v>266</v>
      </c>
      <c r="M1511" s="13">
        <v>771</v>
      </c>
      <c r="N1511" s="13">
        <v>18</v>
      </c>
      <c r="O1511" s="15"/>
      <c r="P1511" s="6">
        <v>40477.868043981478</v>
      </c>
      <c r="Q1511" s="11"/>
      <c r="R1511" s="19" t="s">
        <v>1980</v>
      </c>
      <c r="S1511" s="11"/>
      <c r="T1511" s="11"/>
      <c r="U1511" s="10" t="str">
        <f>HYPERLINK("https://pbs.twimg.com/profile_images/2906316440/4ed1570f50fd6f70f1b28d458997dd81.jpeg","View")</f>
        <v>View</v>
      </c>
    </row>
    <row r="1512" spans="1:21" ht="40.799999999999997">
      <c r="A1512" s="6">
        <v>43441.461180555554</v>
      </c>
      <c r="B1512" s="7" t="str">
        <f>HYPERLINK("https://twitter.com/Filosoferch","@Filosoferch")</f>
        <v>@Filosoferch</v>
      </c>
      <c r="C1512" s="8" t="s">
        <v>6138</v>
      </c>
      <c r="D1512" s="9" t="s">
        <v>6139</v>
      </c>
      <c r="E1512" s="10" t="str">
        <f>HYPERLINK("https://twitter.com/Filosoferch/status/1070982271266635778","1070982271266635778")</f>
        <v>1070982271266635778</v>
      </c>
      <c r="F1512" s="18" t="s">
        <v>6140</v>
      </c>
      <c r="G1512" s="11"/>
      <c r="H1512" s="11"/>
      <c r="I1512" s="13">
        <v>0</v>
      </c>
      <c r="J1512" s="13">
        <v>0</v>
      </c>
      <c r="K1512" s="14" t="str">
        <f>HYPERLINK("http://twitter.com/download/iphone","Twitter for iPhone")</f>
        <v>Twitter for iPhone</v>
      </c>
      <c r="L1512" s="13">
        <v>457</v>
      </c>
      <c r="M1512" s="13">
        <v>443</v>
      </c>
      <c r="N1512" s="13">
        <v>2</v>
      </c>
      <c r="O1512" s="15"/>
      <c r="P1512" s="6">
        <v>43082.096296296295</v>
      </c>
      <c r="Q1512" s="18" t="s">
        <v>42</v>
      </c>
      <c r="R1512" s="19" t="s">
        <v>6141</v>
      </c>
      <c r="S1512" s="11"/>
      <c r="T1512" s="11"/>
      <c r="U1512" s="10" t="str">
        <f>HYPERLINK("https://pbs.twimg.com/profile_images/1007396875706695681/vM-9VAF_.jpg","View")</f>
        <v>View</v>
      </c>
    </row>
    <row r="1513" spans="1:21" ht="51">
      <c r="A1513" s="6">
        <v>43441.459027777775</v>
      </c>
      <c r="B1513" s="7" t="str">
        <f>HYPERLINK("https://twitter.com/bitMomentum","@bitMomentum")</f>
        <v>@bitMomentum</v>
      </c>
      <c r="C1513" s="8" t="s">
        <v>28</v>
      </c>
      <c r="D1513" s="9" t="s">
        <v>3029</v>
      </c>
      <c r="E1513" s="10" t="str">
        <f>HYPERLINK("https://twitter.com/bitMomentum/status/1070981491847585795","1070981491847585795")</f>
        <v>1070981491847585795</v>
      </c>
      <c r="F1513" s="11"/>
      <c r="G1513" s="11"/>
      <c r="H1513" s="11"/>
      <c r="I1513" s="13">
        <v>0</v>
      </c>
      <c r="J1513" s="13">
        <v>1</v>
      </c>
      <c r="K1513" s="14" t="str">
        <f>HYPERLINK("http://www.bitmomentum.com","bitMomentum Bot")</f>
        <v>bitMomentum Bot</v>
      </c>
      <c r="L1513" s="13">
        <v>10254</v>
      </c>
      <c r="M1513" s="13">
        <v>1059</v>
      </c>
      <c r="N1513" s="13">
        <v>263</v>
      </c>
      <c r="O1513" s="15"/>
      <c r="P1513" s="6">
        <v>41608.667511574073</v>
      </c>
      <c r="Q1513" s="11"/>
      <c r="R1513" s="19" t="s">
        <v>30</v>
      </c>
      <c r="S1513" s="12" t="s">
        <v>31</v>
      </c>
      <c r="T1513" s="11"/>
      <c r="U1513" s="10" t="str">
        <f>HYPERLINK("https://pbs.twimg.com/profile_images/378800000862185241/20ij2H3u.png","View")</f>
        <v>View</v>
      </c>
    </row>
    <row r="1514" spans="1:21" ht="30.6">
      <c r="A1514" s="6">
        <v>43441.458726851852</v>
      </c>
      <c r="B1514" s="7" t="str">
        <f>HYPERLINK("https://twitter.com/Pamplonaactual","@Pamplonaactual")</f>
        <v>@Pamplonaactual</v>
      </c>
      <c r="C1514" s="8" t="s">
        <v>6142</v>
      </c>
      <c r="D1514" s="9" t="s">
        <v>6143</v>
      </c>
      <c r="E1514" s="10" t="str">
        <f>HYPERLINK("https://twitter.com/Pamplonaactual/status/1070981384032931840","1070981384032931840")</f>
        <v>1070981384032931840</v>
      </c>
      <c r="F1514" s="12" t="s">
        <v>5435</v>
      </c>
      <c r="G1514" s="11"/>
      <c r="H1514" s="11"/>
      <c r="I1514" s="13">
        <v>0</v>
      </c>
      <c r="J1514" s="13">
        <v>1</v>
      </c>
      <c r="K1514" s="14" t="str">
        <f>HYPERLINK("http://twitter.com","Twitter Web Client")</f>
        <v>Twitter Web Client</v>
      </c>
      <c r="L1514" s="13">
        <v>14614</v>
      </c>
      <c r="M1514" s="13">
        <v>3158</v>
      </c>
      <c r="N1514" s="13">
        <v>176</v>
      </c>
      <c r="O1514" s="15"/>
      <c r="P1514" s="6">
        <v>41324.94368055556</v>
      </c>
      <c r="Q1514" s="11"/>
      <c r="R1514" s="19" t="s">
        <v>6144</v>
      </c>
      <c r="S1514" s="12" t="s">
        <v>6145</v>
      </c>
      <c r="T1514" s="11"/>
      <c r="U1514" s="10" t="str">
        <f>HYPERLINK("https://pbs.twimg.com/profile_images/476859005407866880/RMV6jF-l.jpeg","View")</f>
        <v>View</v>
      </c>
    </row>
    <row r="1515" spans="1:21" ht="40.799999999999997">
      <c r="A1515" s="6">
        <v>43441.458726851852</v>
      </c>
      <c r="B1515" s="7" t="str">
        <f>HYPERLINK("https://twitter.com/_EvaBrown__","@_EvaBrown__")</f>
        <v>@_EvaBrown__</v>
      </c>
      <c r="C1515" s="8" t="s">
        <v>6146</v>
      </c>
      <c r="D1515" s="9" t="s">
        <v>879</v>
      </c>
      <c r="E1515" s="10" t="str">
        <f>HYPERLINK("https://twitter.com/_EvaBrown__/status/1070981382107787264","1070981382107787264")</f>
        <v>1070981382107787264</v>
      </c>
      <c r="F1515" s="12" t="s">
        <v>881</v>
      </c>
      <c r="G1515" s="11"/>
      <c r="H1515" s="11"/>
      <c r="I1515" s="13">
        <v>0</v>
      </c>
      <c r="J1515" s="13">
        <v>0</v>
      </c>
      <c r="K1515" s="14" t="str">
        <f t="shared" ref="K1515:K1516" si="264">HYPERLINK("https://buffer.com","Buffer")</f>
        <v>Buffer</v>
      </c>
      <c r="L1515" s="13">
        <v>43</v>
      </c>
      <c r="M1515" s="13">
        <v>463</v>
      </c>
      <c r="N1515" s="13">
        <v>0</v>
      </c>
      <c r="O1515" s="15"/>
      <c r="P1515" s="6">
        <v>43340.668865740736</v>
      </c>
      <c r="Q1515" s="11"/>
      <c r="R1515" s="19" t="s">
        <v>6147</v>
      </c>
      <c r="S1515" s="11"/>
      <c r="T1515" s="11"/>
      <c r="U1515" s="10" t="str">
        <f>HYPERLINK("https://pbs.twimg.com/profile_images/1034441754743848960/PgrGGimy.jpg","View")</f>
        <v>View</v>
      </c>
    </row>
    <row r="1516" spans="1:21" ht="40.799999999999997">
      <c r="A1516" s="6">
        <v>43441.458703703705</v>
      </c>
      <c r="B1516" s="7" t="str">
        <f>HYPERLINK("https://twitter.com/Galiza_CI","@Galiza_CI")</f>
        <v>@Galiza_CI</v>
      </c>
      <c r="C1516" s="8" t="s">
        <v>6148</v>
      </c>
      <c r="D1516" s="9" t="s">
        <v>879</v>
      </c>
      <c r="E1516" s="10" t="str">
        <f>HYPERLINK("https://twitter.com/Galiza_CI/status/1070981376848158721","1070981376848158721")</f>
        <v>1070981376848158721</v>
      </c>
      <c r="F1516" s="12" t="s">
        <v>881</v>
      </c>
      <c r="G1516" s="11"/>
      <c r="H1516" s="11"/>
      <c r="I1516" s="13">
        <v>0</v>
      </c>
      <c r="J1516" s="13">
        <v>0</v>
      </c>
      <c r="K1516" s="14" t="str">
        <f t="shared" si="264"/>
        <v>Buffer</v>
      </c>
      <c r="L1516" s="13">
        <v>1026</v>
      </c>
      <c r="M1516" s="13">
        <v>1757</v>
      </c>
      <c r="N1516" s="13">
        <v>7</v>
      </c>
      <c r="O1516" s="15"/>
      <c r="P1516" s="6">
        <v>43301.50100694444</v>
      </c>
      <c r="Q1516" s="18" t="s">
        <v>6149</v>
      </c>
      <c r="R1516" s="19" t="s">
        <v>6150</v>
      </c>
      <c r="S1516" s="12" t="s">
        <v>6151</v>
      </c>
      <c r="T1516" s="11"/>
      <c r="U1516" s="10" t="str">
        <f>HYPERLINK("https://pbs.twimg.com/profile_images/1020247718005026816/YhHB5OEL.jpg","View")</f>
        <v>View</v>
      </c>
    </row>
    <row r="1517" spans="1:21" ht="40.799999999999997">
      <c r="A1517" s="6">
        <v>43441.458078703705</v>
      </c>
      <c r="B1517" s="7" t="str">
        <f>HYPERLINK("https://twitter.com/Andy66Warhol","@Andy66Warhol")</f>
        <v>@Andy66Warhol</v>
      </c>
      <c r="C1517" s="8" t="s">
        <v>3032</v>
      </c>
      <c r="D1517" s="9" t="s">
        <v>3033</v>
      </c>
      <c r="E1517" s="10" t="str">
        <f>HYPERLINK("https://twitter.com/Andy66Warhol/status/1070981150724763653","1070981150724763653")</f>
        <v>1070981150724763653</v>
      </c>
      <c r="F1517" s="11"/>
      <c r="G1517" s="12" t="s">
        <v>3034</v>
      </c>
      <c r="H1517" s="11"/>
      <c r="I1517" s="13">
        <v>12</v>
      </c>
      <c r="J1517" s="13">
        <v>38</v>
      </c>
      <c r="K1517" s="14" t="str">
        <f>HYPERLINK("http://twitter.com/download/android","Twitter for Android")</f>
        <v>Twitter for Android</v>
      </c>
      <c r="L1517" s="13">
        <v>7933</v>
      </c>
      <c r="M1517" s="13">
        <v>4860</v>
      </c>
      <c r="N1517" s="13">
        <v>49</v>
      </c>
      <c r="O1517" s="15"/>
      <c r="P1517" s="6">
        <v>43171.729131944448</v>
      </c>
      <c r="Q1517" s="18" t="s">
        <v>41</v>
      </c>
      <c r="R1517" s="19" t="s">
        <v>3035</v>
      </c>
      <c r="S1517" s="11"/>
      <c r="T1517" s="11"/>
      <c r="U1517" s="10" t="str">
        <f>HYPERLINK("https://pbs.twimg.com/profile_images/983390407865315328/XFu2hcgY.jpg","View")</f>
        <v>View</v>
      </c>
    </row>
    <row r="1518" spans="1:21" ht="51">
      <c r="A1518" s="6">
        <v>43441.457824074074</v>
      </c>
      <c r="B1518" s="7" t="str">
        <f>HYPERLINK("https://twitter.com/victormmartinez","@victormmartinez")</f>
        <v>@victormmartinez</v>
      </c>
      <c r="C1518" s="8" t="s">
        <v>3036</v>
      </c>
      <c r="D1518" s="9" t="s">
        <v>3037</v>
      </c>
      <c r="E1518" s="10" t="str">
        <f>HYPERLINK("https://twitter.com/victormmartinez/status/1070981057820983296","1070981057820983296")</f>
        <v>1070981057820983296</v>
      </c>
      <c r="F1518" s="11"/>
      <c r="G1518" s="12" t="s">
        <v>3038</v>
      </c>
      <c r="H1518" s="11"/>
      <c r="I1518" s="13">
        <v>4</v>
      </c>
      <c r="J1518" s="13">
        <v>2</v>
      </c>
      <c r="K1518" s="14" t="str">
        <f>HYPERLINK("http://twitter.com","Twitter Web Client")</f>
        <v>Twitter Web Client</v>
      </c>
      <c r="L1518" s="13">
        <v>4063</v>
      </c>
      <c r="M1518" s="13">
        <v>1673</v>
      </c>
      <c r="N1518" s="13">
        <v>48</v>
      </c>
      <c r="O1518" s="15"/>
      <c r="P1518" s="6">
        <v>40464.611516203702</v>
      </c>
      <c r="Q1518" s="18" t="s">
        <v>3039</v>
      </c>
      <c r="R1518" s="19" t="s">
        <v>3040</v>
      </c>
      <c r="S1518" s="12" t="s">
        <v>3041</v>
      </c>
      <c r="T1518" s="11"/>
      <c r="U1518" s="10" t="str">
        <f>HYPERLINK("https://pbs.twimg.com/profile_images/1045218373536305153/t9bjmIZ6.jpg","View")</f>
        <v>View</v>
      </c>
    </row>
    <row r="1519" spans="1:21" ht="51">
      <c r="A1519" s="6">
        <v>43441.456284722226</v>
      </c>
      <c r="B1519" s="7" t="str">
        <f>HYPERLINK("https://twitter.com/elfary74","@elfary74")</f>
        <v>@elfary74</v>
      </c>
      <c r="C1519" s="8" t="s">
        <v>2424</v>
      </c>
      <c r="D1519" s="9" t="s">
        <v>3042</v>
      </c>
      <c r="E1519" s="10" t="str">
        <f>HYPERLINK("https://twitter.com/elfary74/status/1070980500729315329","1070980500729315329")</f>
        <v>1070980500729315329</v>
      </c>
      <c r="F1519" s="11"/>
      <c r="G1519" s="11"/>
      <c r="H1519" s="11"/>
      <c r="I1519" s="13">
        <v>0</v>
      </c>
      <c r="J1519" s="13">
        <v>0</v>
      </c>
      <c r="K1519" s="14" t="str">
        <f>HYPERLINK("https://mobile.twitter.com","Twitter Lite")</f>
        <v>Twitter Lite</v>
      </c>
      <c r="L1519" s="13">
        <v>196</v>
      </c>
      <c r="M1519" s="13">
        <v>298</v>
      </c>
      <c r="N1519" s="13">
        <v>2</v>
      </c>
      <c r="O1519" s="15"/>
      <c r="P1519" s="6">
        <v>40008.400127314817</v>
      </c>
      <c r="Q1519" s="18" t="s">
        <v>307</v>
      </c>
      <c r="R1519" s="19" t="s">
        <v>3043</v>
      </c>
      <c r="S1519" s="11"/>
      <c r="T1519" s="11"/>
      <c r="U1519" s="10" t="str">
        <f>HYPERLINK("https://pbs.twimg.com/profile_images/1047549534539276288/6RsyeDiZ.jpg","View")</f>
        <v>View</v>
      </c>
    </row>
    <row r="1520" spans="1:21" ht="30.6">
      <c r="A1520" s="6">
        <v>43441.456053240741</v>
      </c>
      <c r="B1520" s="7" t="str">
        <f>HYPERLINK("https://twitter.com/jorgegmpc","@jorgegmpc")</f>
        <v>@jorgegmpc</v>
      </c>
      <c r="C1520" s="8" t="s">
        <v>6153</v>
      </c>
      <c r="D1520" s="9" t="s">
        <v>6154</v>
      </c>
      <c r="E1520" s="10" t="str">
        <f>HYPERLINK("https://twitter.com/jorgegmpc/status/1070980413542318081","1070980413542318081")</f>
        <v>1070980413542318081</v>
      </c>
      <c r="F1520" s="12" t="s">
        <v>6155</v>
      </c>
      <c r="G1520" s="11"/>
      <c r="H1520" s="11"/>
      <c r="I1520" s="13">
        <v>0</v>
      </c>
      <c r="J1520" s="13">
        <v>0</v>
      </c>
      <c r="K1520" s="14" t="str">
        <f>HYPERLINK("http://twitter.com/download/android","Twitter for Android")</f>
        <v>Twitter for Android</v>
      </c>
      <c r="L1520" s="13">
        <v>217</v>
      </c>
      <c r="M1520" s="13">
        <v>199</v>
      </c>
      <c r="N1520" s="13">
        <v>2</v>
      </c>
      <c r="O1520" s="15"/>
      <c r="P1520" s="6">
        <v>41196.469525462962</v>
      </c>
      <c r="Q1520" s="11"/>
      <c r="R1520" s="19" t="s">
        <v>6156</v>
      </c>
      <c r="S1520" s="12" t="s">
        <v>6157</v>
      </c>
      <c r="T1520" s="11"/>
      <c r="U1520" s="10" t="str">
        <f>HYPERLINK("https://pbs.twimg.com/profile_images/746486251201699840/4VtIRZ-p.jpg","View")</f>
        <v>View</v>
      </c>
    </row>
    <row r="1521" spans="1:21" ht="20.399999999999999">
      <c r="A1521" s="6">
        <v>43441.455729166672</v>
      </c>
      <c r="B1521" s="7" t="str">
        <f>HYPERLINK("https://twitter.com/merchigan","@merchigan")</f>
        <v>@merchigan</v>
      </c>
      <c r="C1521" s="8" t="s">
        <v>6158</v>
      </c>
      <c r="D1521" s="9" t="s">
        <v>2160</v>
      </c>
      <c r="E1521" s="10" t="str">
        <f>HYPERLINK("https://twitter.com/merchigan/status/1070980297540407297","1070980297540407297")</f>
        <v>1070980297540407297</v>
      </c>
      <c r="F1521" s="12" t="s">
        <v>2161</v>
      </c>
      <c r="G1521" s="11"/>
      <c r="H1521" s="11"/>
      <c r="I1521" s="13">
        <v>0</v>
      </c>
      <c r="J1521" s="13">
        <v>0</v>
      </c>
      <c r="K1521" s="14" t="str">
        <f>HYPERLINK("http://twitter.com","Twitter Web Client")</f>
        <v>Twitter Web Client</v>
      </c>
      <c r="L1521" s="13">
        <v>1246</v>
      </c>
      <c r="M1521" s="13">
        <v>1133</v>
      </c>
      <c r="N1521" s="13">
        <v>14</v>
      </c>
      <c r="O1521" s="15"/>
      <c r="P1521" s="6">
        <v>40685.967453703706</v>
      </c>
      <c r="Q1521" s="18" t="s">
        <v>6159</v>
      </c>
      <c r="R1521" s="19" t="s">
        <v>6160</v>
      </c>
      <c r="S1521" s="11"/>
      <c r="T1521" s="11"/>
      <c r="U1521" s="10" t="str">
        <f>HYPERLINK("https://pbs.twimg.com/profile_images/1066015414193405952/Xlxb1C3b.jpg","View")</f>
        <v>View</v>
      </c>
    </row>
    <row r="1522" spans="1:21" ht="40.799999999999997">
      <c r="A1522" s="6">
        <v>43441.453634259262</v>
      </c>
      <c r="B1522" s="7" t="str">
        <f>HYPERLINK("https://twitter.com/CestariOscar","@CestariOscar")</f>
        <v>@CestariOscar</v>
      </c>
      <c r="C1522" s="8" t="s">
        <v>3415</v>
      </c>
      <c r="D1522" s="9" t="s">
        <v>5903</v>
      </c>
      <c r="E1522" s="10" t="str">
        <f>HYPERLINK("https://twitter.com/CestariOscar/status/1070979540070088704","1070979540070088704")</f>
        <v>1070979540070088704</v>
      </c>
      <c r="F1522" s="12" t="s">
        <v>6161</v>
      </c>
      <c r="G1522" s="11"/>
      <c r="H1522" s="11"/>
      <c r="I1522" s="13">
        <v>2</v>
      </c>
      <c r="J1522" s="13">
        <v>0</v>
      </c>
      <c r="K1522" s="14" t="str">
        <f>HYPERLINK("http://www.facebook.com/twitter","Facebook")</f>
        <v>Facebook</v>
      </c>
      <c r="L1522" s="13">
        <v>166</v>
      </c>
      <c r="M1522" s="13">
        <v>181</v>
      </c>
      <c r="N1522" s="13">
        <v>0</v>
      </c>
      <c r="O1522" s="15"/>
      <c r="P1522" s="6">
        <v>41710.824618055558</v>
      </c>
      <c r="Q1522" s="11"/>
      <c r="R1522" s="17"/>
      <c r="S1522" s="11"/>
      <c r="T1522" s="11"/>
      <c r="U1522" s="10" t="str">
        <f>HYPERLINK("https://pbs.twimg.com/profile_images/460021269207863296/yjBUNpoY.jpeg","View")</f>
        <v>View</v>
      </c>
    </row>
    <row r="1523" spans="1:21" ht="51">
      <c r="A1523" s="6">
        <v>43441.453379629631</v>
      </c>
      <c r="B1523" s="7" t="str">
        <f>HYPERLINK("https://twitter.com/allaneras","@allaneras")</f>
        <v>@allaneras</v>
      </c>
      <c r="C1523" s="8" t="s">
        <v>3044</v>
      </c>
      <c r="D1523" s="9" t="s">
        <v>3045</v>
      </c>
      <c r="E1523" s="10" t="str">
        <f>HYPERLINK("https://twitter.com/allaneras/status/1070979447451475968","1070979447451475968")</f>
        <v>1070979447451475968</v>
      </c>
      <c r="F1523" s="12" t="s">
        <v>3046</v>
      </c>
      <c r="G1523" s="11"/>
      <c r="H1523" s="11"/>
      <c r="I1523" s="13">
        <v>0</v>
      </c>
      <c r="J1523" s="13">
        <v>1</v>
      </c>
      <c r="K1523" s="14" t="str">
        <f>HYPERLINK("http://twitter.com/download/iphone","Twitter for iPhone")</f>
        <v>Twitter for iPhone</v>
      </c>
      <c r="L1523" s="13">
        <v>1298</v>
      </c>
      <c r="M1523" s="13">
        <v>1028</v>
      </c>
      <c r="N1523" s="13">
        <v>17</v>
      </c>
      <c r="O1523" s="15"/>
      <c r="P1523" s="6">
        <v>40965.131932870368</v>
      </c>
      <c r="Q1523" s="18" t="s">
        <v>3047</v>
      </c>
      <c r="R1523" s="19" t="s">
        <v>3048</v>
      </c>
      <c r="S1523" s="11"/>
      <c r="T1523" s="11"/>
      <c r="U1523" s="10" t="str">
        <f>HYPERLINK("https://pbs.twimg.com/profile_images/946156392188203008/-o2mrWQq.jpg","View")</f>
        <v>View</v>
      </c>
    </row>
    <row r="1524" spans="1:21" ht="20.399999999999999">
      <c r="A1524" s="6">
        <v>43441.452951388885</v>
      </c>
      <c r="B1524" s="7" t="str">
        <f>HYPERLINK("https://twitter.com/blueberto","@blueberto")</f>
        <v>@blueberto</v>
      </c>
      <c r="C1524" s="8" t="s">
        <v>6162</v>
      </c>
      <c r="D1524" s="9" t="s">
        <v>6163</v>
      </c>
      <c r="E1524" s="10" t="str">
        <f>HYPERLINK("https://twitter.com/blueberto/status/1070979292341903360","1070979292341903360")</f>
        <v>1070979292341903360</v>
      </c>
      <c r="F1524" s="12" t="s">
        <v>2454</v>
      </c>
      <c r="G1524" s="11"/>
      <c r="H1524" s="11"/>
      <c r="I1524" s="13">
        <v>0</v>
      </c>
      <c r="J1524" s="13">
        <v>0</v>
      </c>
      <c r="K1524" s="14" t="str">
        <f>HYPERLINK("https://www.google.com/","Google")</f>
        <v>Google</v>
      </c>
      <c r="L1524" s="13">
        <v>122</v>
      </c>
      <c r="M1524" s="13">
        <v>89</v>
      </c>
      <c r="N1524" s="13">
        <v>1</v>
      </c>
      <c r="O1524" s="15"/>
      <c r="P1524" s="6">
        <v>40009.737210648149</v>
      </c>
      <c r="Q1524" s="18" t="s">
        <v>6164</v>
      </c>
      <c r="R1524" s="19" t="s">
        <v>6165</v>
      </c>
      <c r="S1524" s="11"/>
      <c r="T1524" s="11"/>
      <c r="U1524" s="10" t="str">
        <f>HYPERLINK("https://pbs.twimg.com/profile_images/683028712741322752/bxVwpO0q.jpg","View")</f>
        <v>View</v>
      </c>
    </row>
    <row r="1525" spans="1:21" ht="30.6">
      <c r="A1525" s="6">
        <v>43441.452847222223</v>
      </c>
      <c r="B1525" s="7" t="str">
        <f>HYPERLINK("https://twitter.com/Granada2001","@Granada2001")</f>
        <v>@Granada2001</v>
      </c>
      <c r="C1525" s="8" t="s">
        <v>6166</v>
      </c>
      <c r="D1525" s="9" t="s">
        <v>6167</v>
      </c>
      <c r="E1525" s="10" t="str">
        <f>HYPERLINK("https://twitter.com/Granada2001/status/1070979254186315776","1070979254186315776")</f>
        <v>1070979254186315776</v>
      </c>
      <c r="F1525" s="12" t="s">
        <v>6168</v>
      </c>
      <c r="G1525" s="11"/>
      <c r="H1525" s="11"/>
      <c r="I1525" s="13">
        <v>0</v>
      </c>
      <c r="J1525" s="13">
        <v>0</v>
      </c>
      <c r="K1525" s="14" t="str">
        <f t="shared" ref="K1525:K1526" si="265">HYPERLINK("http://twitter.com","Twitter Web Client")</f>
        <v>Twitter Web Client</v>
      </c>
      <c r="L1525" s="13">
        <v>375</v>
      </c>
      <c r="M1525" s="13">
        <v>460</v>
      </c>
      <c r="N1525" s="13">
        <v>14</v>
      </c>
      <c r="O1525" s="15"/>
      <c r="P1525" s="6">
        <v>40986.531388888892</v>
      </c>
      <c r="Q1525" s="18" t="s">
        <v>6169</v>
      </c>
      <c r="R1525" s="19" t="s">
        <v>6170</v>
      </c>
      <c r="S1525" s="11"/>
      <c r="T1525" s="11"/>
      <c r="U1525" s="10" t="str">
        <f>HYPERLINK("https://pbs.twimg.com/profile_images/920957254907678721/3rQr2BiD.jpg","View")</f>
        <v>View</v>
      </c>
    </row>
    <row r="1526" spans="1:21" ht="91.8">
      <c r="A1526" s="6">
        <v>43441.452291666668</v>
      </c>
      <c r="B1526" s="7" t="str">
        <f>HYPERLINK("https://twitter.com/carmogar","@carmogar")</f>
        <v>@carmogar</v>
      </c>
      <c r="C1526" s="8" t="s">
        <v>6171</v>
      </c>
      <c r="D1526" s="9" t="s">
        <v>6172</v>
      </c>
      <c r="E1526" s="10" t="str">
        <f>HYPERLINK("https://twitter.com/carmogar/status/1070979051546906624","1070979051546906624")</f>
        <v>1070979051546906624</v>
      </c>
      <c r="F1526" s="18" t="s">
        <v>6173</v>
      </c>
      <c r="G1526" s="11"/>
      <c r="H1526" s="11"/>
      <c r="I1526" s="13">
        <v>2</v>
      </c>
      <c r="J1526" s="13">
        <v>0</v>
      </c>
      <c r="K1526" s="14" t="str">
        <f t="shared" si="265"/>
        <v>Twitter Web Client</v>
      </c>
      <c r="L1526" s="13">
        <v>94</v>
      </c>
      <c r="M1526" s="13">
        <v>60</v>
      </c>
      <c r="N1526" s="13">
        <v>0</v>
      </c>
      <c r="O1526" s="15"/>
      <c r="P1526" s="6">
        <v>39984.586226851854</v>
      </c>
      <c r="Q1526" s="18" t="s">
        <v>204</v>
      </c>
      <c r="R1526" s="19" t="s">
        <v>6174</v>
      </c>
      <c r="S1526" s="11"/>
      <c r="T1526" s="11"/>
      <c r="U1526" s="10" t="str">
        <f>HYPERLINK("https://pbs.twimg.com/profile_images/1699050273/DSCN7367.JPG","View")</f>
        <v>View</v>
      </c>
    </row>
    <row r="1527" spans="1:21" ht="40.799999999999997">
      <c r="A1527" s="6">
        <v>43441.452187499999</v>
      </c>
      <c r="B1527" s="7" t="str">
        <f>HYPERLINK("https://twitter.com/AngelesRendn1","@AngelesRendn1")</f>
        <v>@AngelesRendn1</v>
      </c>
      <c r="C1527" s="8" t="s">
        <v>1684</v>
      </c>
      <c r="D1527" s="9" t="s">
        <v>3314</v>
      </c>
      <c r="E1527" s="10" t="str">
        <f>HYPERLINK("https://twitter.com/AngelesRendn1/status/1070979013336883202","1070979013336883202")</f>
        <v>1070979013336883202</v>
      </c>
      <c r="F1527" s="12" t="s">
        <v>40</v>
      </c>
      <c r="G1527" s="11"/>
      <c r="H1527" s="11"/>
      <c r="I1527" s="13">
        <v>2</v>
      </c>
      <c r="J1527" s="13">
        <v>2</v>
      </c>
      <c r="K1527" s="14" t="str">
        <f>HYPERLINK("http://twitter.com/download/android","Twitter for Android")</f>
        <v>Twitter for Android</v>
      </c>
      <c r="L1527" s="13">
        <v>8846</v>
      </c>
      <c r="M1527" s="13">
        <v>6576</v>
      </c>
      <c r="N1527" s="13">
        <v>71</v>
      </c>
      <c r="O1527" s="15"/>
      <c r="P1527" s="6">
        <v>42331.020300925928</v>
      </c>
      <c r="Q1527" s="11"/>
      <c r="R1527" s="19" t="s">
        <v>1688</v>
      </c>
      <c r="S1527" s="11"/>
      <c r="T1527" s="11"/>
      <c r="U1527" s="10" t="str">
        <f>HYPERLINK("https://pbs.twimg.com/profile_images/1055244114889977856/yQvW3oet.jpg","View")</f>
        <v>View</v>
      </c>
    </row>
    <row r="1528" spans="1:21" ht="40.799999999999997">
      <c r="A1528" s="6">
        <v>43441.452175925922</v>
      </c>
      <c r="B1528" s="7" t="str">
        <f>HYPERLINK("https://twitter.com/maribelfdez2","@maribelfdez2")</f>
        <v>@maribelfdez2</v>
      </c>
      <c r="C1528" s="8" t="s">
        <v>6175</v>
      </c>
      <c r="D1528" s="9" t="s">
        <v>6176</v>
      </c>
      <c r="E1528" s="10" t="str">
        <f>HYPERLINK("https://twitter.com/maribelfdez2/status/1070979009243201536","1070979009243201536")</f>
        <v>1070979009243201536</v>
      </c>
      <c r="F1528" s="11"/>
      <c r="G1528" s="11"/>
      <c r="H1528" s="11"/>
      <c r="I1528" s="13">
        <v>1</v>
      </c>
      <c r="J1528" s="13">
        <v>3</v>
      </c>
      <c r="K1528" s="14" t="str">
        <f>HYPERLINK("http://twitter.com/download/iphone","Twitter for iPhone")</f>
        <v>Twitter for iPhone</v>
      </c>
      <c r="L1528" s="13">
        <v>106</v>
      </c>
      <c r="M1528" s="13">
        <v>286</v>
      </c>
      <c r="N1528" s="13">
        <v>0</v>
      </c>
      <c r="O1528" s="15"/>
      <c r="P1528" s="6">
        <v>41836.768425925926</v>
      </c>
      <c r="Q1528" s="11"/>
      <c r="R1528" s="17"/>
      <c r="S1528" s="11"/>
      <c r="T1528" s="11"/>
      <c r="U1528" s="10" t="str">
        <f>HYPERLINK("https://pbs.twimg.com/profile_images/960572663616933890/p2dwQ3-h.jpg","View")</f>
        <v>View</v>
      </c>
    </row>
    <row r="1529" spans="1:21" ht="51">
      <c r="A1529" s="6">
        <v>43441.452152777776</v>
      </c>
      <c r="B1529" s="7" t="str">
        <f>HYPERLINK("https://twitter.com/OrbitaEduardo","@OrbitaEduardo")</f>
        <v>@OrbitaEduardo</v>
      </c>
      <c r="C1529" s="8" t="s">
        <v>930</v>
      </c>
      <c r="D1529" s="9" t="s">
        <v>6177</v>
      </c>
      <c r="E1529" s="10" t="str">
        <f>HYPERLINK("https://twitter.com/OrbitaEduardo/status/1070979003681566720","1070979003681566720")</f>
        <v>1070979003681566720</v>
      </c>
      <c r="F1529" s="11"/>
      <c r="G1529" s="12" t="s">
        <v>6178</v>
      </c>
      <c r="H1529" s="11"/>
      <c r="I1529" s="13">
        <v>156</v>
      </c>
      <c r="J1529" s="13">
        <v>133</v>
      </c>
      <c r="K1529" s="14" t="str">
        <f t="shared" ref="K1529:K1533" si="266">HYPERLINK("http://twitter.com/download/android","Twitter for Android")</f>
        <v>Twitter for Android</v>
      </c>
      <c r="L1529" s="13">
        <v>4523</v>
      </c>
      <c r="M1529" s="13">
        <v>4948</v>
      </c>
      <c r="N1529" s="13">
        <v>13</v>
      </c>
      <c r="O1529" s="15"/>
      <c r="P1529" s="6">
        <v>43110.374305555553</v>
      </c>
      <c r="Q1529" s="18" t="s">
        <v>260</v>
      </c>
      <c r="R1529" s="19" t="s">
        <v>935</v>
      </c>
      <c r="S1529" s="11"/>
      <c r="T1529" s="11"/>
      <c r="U1529" s="10" t="str">
        <f>HYPERLINK("https://pbs.twimg.com/profile_images/1034013666600001538/MmqVJqFc.jpg","View")</f>
        <v>View</v>
      </c>
    </row>
    <row r="1530" spans="1:21" ht="51">
      <c r="A1530" s="6">
        <v>43441.451817129629</v>
      </c>
      <c r="B1530" s="7" t="str">
        <f>HYPERLINK("https://twitter.com/twiterdeelfakir","@twiterdeelfakir")</f>
        <v>@twiterdeelfakir</v>
      </c>
      <c r="C1530" s="8" t="s">
        <v>1808</v>
      </c>
      <c r="D1530" s="9" t="s">
        <v>3049</v>
      </c>
      <c r="E1530" s="10" t="str">
        <f>HYPERLINK("https://twitter.com/twiterdeelfakir/status/1070978878150197250","1070978878150197250")</f>
        <v>1070978878150197250</v>
      </c>
      <c r="F1530" s="12" t="s">
        <v>3052</v>
      </c>
      <c r="G1530" s="11"/>
      <c r="H1530" s="11"/>
      <c r="I1530" s="13">
        <v>3</v>
      </c>
      <c r="J1530" s="13">
        <v>2</v>
      </c>
      <c r="K1530" s="14" t="str">
        <f t="shared" si="266"/>
        <v>Twitter for Android</v>
      </c>
      <c r="L1530" s="13">
        <v>5472</v>
      </c>
      <c r="M1530" s="13">
        <v>5206</v>
      </c>
      <c r="N1530" s="13">
        <v>158</v>
      </c>
      <c r="O1530" s="15"/>
      <c r="P1530" s="6">
        <v>40306.563622685186</v>
      </c>
      <c r="Q1530" s="11"/>
      <c r="R1530" s="19" t="s">
        <v>1811</v>
      </c>
      <c r="S1530" s="11"/>
      <c r="T1530" s="11"/>
      <c r="U1530" s="10" t="str">
        <f>HYPERLINK("https://pbs.twimg.com/profile_images/1063432165164285954/TCn4sdvu.jpg","View")</f>
        <v>View</v>
      </c>
    </row>
    <row r="1531" spans="1:21" ht="40.799999999999997">
      <c r="A1531" s="6">
        <v>43441.451307870375</v>
      </c>
      <c r="B1531" s="7" t="str">
        <f>HYPERLINK("https://twitter.com/VittoReal","@VittoReal")</f>
        <v>@VittoReal</v>
      </c>
      <c r="C1531" s="8" t="s">
        <v>2565</v>
      </c>
      <c r="D1531" s="9" t="s">
        <v>6179</v>
      </c>
      <c r="E1531" s="10" t="str">
        <f>HYPERLINK("https://twitter.com/VittoReal/status/1070978693797953538","1070978693797953538")</f>
        <v>1070978693797953538</v>
      </c>
      <c r="F1531" s="11"/>
      <c r="G1531" s="11"/>
      <c r="H1531" s="11"/>
      <c r="I1531" s="13">
        <v>0</v>
      </c>
      <c r="J1531" s="13">
        <v>4</v>
      </c>
      <c r="K1531" s="14" t="str">
        <f t="shared" si="266"/>
        <v>Twitter for Android</v>
      </c>
      <c r="L1531" s="13">
        <v>1290</v>
      </c>
      <c r="M1531" s="13">
        <v>785</v>
      </c>
      <c r="N1531" s="13">
        <v>22</v>
      </c>
      <c r="O1531" s="15"/>
      <c r="P1531" s="6">
        <v>40853.652222222227</v>
      </c>
      <c r="Q1531" s="11"/>
      <c r="R1531" s="19" t="s">
        <v>2568</v>
      </c>
      <c r="S1531" s="12" t="s">
        <v>2569</v>
      </c>
      <c r="T1531" s="11"/>
      <c r="U1531" s="10" t="str">
        <f>HYPERLINK("https://pbs.twimg.com/profile_images/1061610325760503808/z_re0JP_.jpg","View")</f>
        <v>View</v>
      </c>
    </row>
    <row r="1532" spans="1:21" ht="51">
      <c r="A1532" s="6">
        <v>43441.45113425926</v>
      </c>
      <c r="B1532" s="7" t="str">
        <f>HYPERLINK("https://twitter.com/PtfLaSilenciosa","@PtfLaSilenciosa")</f>
        <v>@PtfLaSilenciosa</v>
      </c>
      <c r="C1532" s="8" t="s">
        <v>952</v>
      </c>
      <c r="D1532" s="9" t="s">
        <v>3054</v>
      </c>
      <c r="E1532" s="10" t="str">
        <f>HYPERLINK("https://twitter.com/PtfLaSilenciosa/status/1070978634352074752","1070978634352074752")</f>
        <v>1070978634352074752</v>
      </c>
      <c r="F1532" s="11"/>
      <c r="G1532" s="12" t="s">
        <v>3057</v>
      </c>
      <c r="H1532" s="11"/>
      <c r="I1532" s="13">
        <v>34</v>
      </c>
      <c r="J1532" s="13">
        <v>44</v>
      </c>
      <c r="K1532" s="14" t="str">
        <f t="shared" si="266"/>
        <v>Twitter for Android</v>
      </c>
      <c r="L1532" s="13">
        <v>965</v>
      </c>
      <c r="M1532" s="13">
        <v>310</v>
      </c>
      <c r="N1532" s="13">
        <v>1</v>
      </c>
      <c r="O1532" s="15"/>
      <c r="P1532" s="6">
        <v>43357.39806712963</v>
      </c>
      <c r="Q1532" s="18" t="s">
        <v>42</v>
      </c>
      <c r="R1532" s="19" t="s">
        <v>957</v>
      </c>
      <c r="S1532" s="12" t="s">
        <v>958</v>
      </c>
      <c r="T1532" s="11"/>
      <c r="U1532" s="10" t="str">
        <f>HYPERLINK("https://pbs.twimg.com/profile_images/1066720822528749568/aqkNSI5G.jpg","View")</f>
        <v>View</v>
      </c>
    </row>
    <row r="1533" spans="1:21" ht="51">
      <c r="A1533" s="6">
        <v>43441.450694444444</v>
      </c>
      <c r="B1533" s="7" t="str">
        <f>HYPERLINK("https://twitter.com/TonivicenJos","@TonivicenJos")</f>
        <v>@TonivicenJos</v>
      </c>
      <c r="C1533" s="8" t="s">
        <v>3061</v>
      </c>
      <c r="D1533" s="9" t="s">
        <v>3062</v>
      </c>
      <c r="E1533" s="10" t="str">
        <f>HYPERLINK("https://twitter.com/TonivicenJos/status/1070978474674933760","1070978474674933760")</f>
        <v>1070978474674933760</v>
      </c>
      <c r="F1533" s="12" t="s">
        <v>3063</v>
      </c>
      <c r="G1533" s="12" t="s">
        <v>3065</v>
      </c>
      <c r="H1533" s="11"/>
      <c r="I1533" s="13">
        <v>0</v>
      </c>
      <c r="J1533" s="13">
        <v>0</v>
      </c>
      <c r="K1533" s="14" t="str">
        <f t="shared" si="266"/>
        <v>Twitter for Android</v>
      </c>
      <c r="L1533" s="13">
        <v>79</v>
      </c>
      <c r="M1533" s="13">
        <v>88</v>
      </c>
      <c r="N1533" s="13">
        <v>0</v>
      </c>
      <c r="O1533" s="15"/>
      <c r="P1533" s="6">
        <v>41083.537418981483</v>
      </c>
      <c r="Q1533" s="18" t="s">
        <v>3067</v>
      </c>
      <c r="R1533" s="19" t="s">
        <v>3068</v>
      </c>
      <c r="S1533" s="11"/>
      <c r="T1533" s="11"/>
      <c r="U1533" s="10" t="str">
        <f>HYPERLINK("https://pbs.twimg.com/profile_images/344513261574988844/973b595602a024ae011bcc3bc581c6e9.jpeg","View")</f>
        <v>View</v>
      </c>
    </row>
    <row r="1534" spans="1:21" ht="30.6">
      <c r="A1534" s="6">
        <v>43441.45</v>
      </c>
      <c r="B1534" s="7" t="str">
        <f>HYPERLINK("https://twitter.com/debate_es","@debate_es")</f>
        <v>@debate_es</v>
      </c>
      <c r="C1534" s="22" t="s">
        <v>1865</v>
      </c>
      <c r="D1534" s="9" t="s">
        <v>3618</v>
      </c>
      <c r="E1534" s="10" t="str">
        <f>HYPERLINK("https://twitter.com/debate_es/status/1070978221716340736","1070978221716340736")</f>
        <v>1070978221716340736</v>
      </c>
      <c r="F1534" s="12" t="s">
        <v>3620</v>
      </c>
      <c r="G1534" s="11"/>
      <c r="H1534" s="11"/>
      <c r="I1534" s="13">
        <v>0</v>
      </c>
      <c r="J1534" s="13">
        <v>0</v>
      </c>
      <c r="K1534" s="14" t="str">
        <f>HYPERLINK("https://about.twitter.com/products/tweetdeck","TweetDeck")</f>
        <v>TweetDeck</v>
      </c>
      <c r="L1534" s="13">
        <v>1990</v>
      </c>
      <c r="M1534" s="13">
        <v>0</v>
      </c>
      <c r="N1534" s="13">
        <v>26</v>
      </c>
      <c r="O1534" s="15"/>
      <c r="P1534" s="6">
        <v>43258.540625000001</v>
      </c>
      <c r="Q1534" s="11"/>
      <c r="R1534" s="19" t="s">
        <v>1871</v>
      </c>
      <c r="S1534" s="12" t="s">
        <v>1872</v>
      </c>
      <c r="T1534" s="11"/>
      <c r="U1534" s="10" t="str">
        <f>HYPERLINK("https://pbs.twimg.com/profile_images/1022497434029699073/kza_Om7G.jpg","View")</f>
        <v>View</v>
      </c>
    </row>
    <row r="1535" spans="1:21" ht="71.400000000000006">
      <c r="A1535" s="6">
        <v>43441.449317129634</v>
      </c>
      <c r="B1535" s="7" t="str">
        <f>HYPERLINK("https://twitter.com/MarioJM76","@MarioJM76")</f>
        <v>@MarioJM76</v>
      </c>
      <c r="C1535" s="8" t="s">
        <v>3071</v>
      </c>
      <c r="D1535" s="9" t="s">
        <v>3073</v>
      </c>
      <c r="E1535" s="10" t="str">
        <f>HYPERLINK("https://twitter.com/MarioJM76/status/1070977973354946565","1070977973354946565")</f>
        <v>1070977973354946565</v>
      </c>
      <c r="F1535" s="12" t="s">
        <v>3074</v>
      </c>
      <c r="G1535" s="12" t="s">
        <v>3075</v>
      </c>
      <c r="H1535" s="11"/>
      <c r="I1535" s="13">
        <v>2</v>
      </c>
      <c r="J1535" s="13">
        <v>6</v>
      </c>
      <c r="K1535" s="14" t="str">
        <f>HYPERLINK("http://twitter.com/download/iphone","Twitter for iPhone")</f>
        <v>Twitter for iPhone</v>
      </c>
      <c r="L1535" s="13">
        <v>217</v>
      </c>
      <c r="M1535" s="13">
        <v>402</v>
      </c>
      <c r="N1535" s="13">
        <v>6</v>
      </c>
      <c r="O1535" s="15"/>
      <c r="P1535" s="6">
        <v>40414.491909722223</v>
      </c>
      <c r="Q1535" s="18" t="s">
        <v>1682</v>
      </c>
      <c r="R1535" s="19" t="s">
        <v>3076</v>
      </c>
      <c r="S1535" s="11"/>
      <c r="T1535" s="11"/>
      <c r="U1535" s="10" t="str">
        <f>HYPERLINK("https://pbs.twimg.com/profile_images/907907982033383424/RVbuxhLD.jpg","View")</f>
        <v>View</v>
      </c>
    </row>
    <row r="1536" spans="1:21" ht="51">
      <c r="A1536" s="6">
        <v>43441.448796296296</v>
      </c>
      <c r="B1536" s="7" t="str">
        <f>HYPERLINK("https://twitter.com/DrStrangeisback","@DrStrangeisback")</f>
        <v>@DrStrangeisback</v>
      </c>
      <c r="C1536" s="8" t="s">
        <v>3077</v>
      </c>
      <c r="D1536" s="9" t="s">
        <v>3078</v>
      </c>
      <c r="E1536" s="10" t="str">
        <f>HYPERLINK("https://twitter.com/DrStrangeisback/status/1070977784942653440","1070977784942653440")</f>
        <v>1070977784942653440</v>
      </c>
      <c r="F1536" s="18" t="s">
        <v>3079</v>
      </c>
      <c r="G1536" s="11"/>
      <c r="H1536" s="11"/>
      <c r="I1536" s="13">
        <v>0</v>
      </c>
      <c r="J1536" s="13">
        <v>0</v>
      </c>
      <c r="K1536" s="14" t="str">
        <f t="shared" ref="K1536:K1538" si="267">HYPERLINK("http://twitter.com/download/android","Twitter for Android")</f>
        <v>Twitter for Android</v>
      </c>
      <c r="L1536" s="13">
        <v>137</v>
      </c>
      <c r="M1536" s="13">
        <v>170</v>
      </c>
      <c r="N1536" s="13">
        <v>1</v>
      </c>
      <c r="O1536" s="15"/>
      <c r="P1536" s="6">
        <v>40485.94908564815</v>
      </c>
      <c r="Q1536" s="11"/>
      <c r="R1536" s="19" t="s">
        <v>3080</v>
      </c>
      <c r="S1536" s="11"/>
      <c r="T1536" s="11"/>
      <c r="U1536" s="10" t="str">
        <f>HYPERLINK("https://pbs.twimg.com/profile_images/917502827630678016/fqfPRuk8.jpg","View")</f>
        <v>View</v>
      </c>
    </row>
    <row r="1537" spans="1:21" ht="51">
      <c r="A1537" s="6">
        <v>43441.448564814811</v>
      </c>
      <c r="B1537" s="7" t="str">
        <f>HYPERLINK("https://twitter.com/heynoquieroserp","@heynoquieroserp")</f>
        <v>@heynoquieroserp</v>
      </c>
      <c r="C1537" s="8" t="s">
        <v>6180</v>
      </c>
      <c r="D1537" s="9" t="s">
        <v>6181</v>
      </c>
      <c r="E1537" s="10" t="str">
        <f>HYPERLINK("https://twitter.com/heynoquieroserp/status/1070977703082422272","1070977703082422272")</f>
        <v>1070977703082422272</v>
      </c>
      <c r="F1537" s="12" t="s">
        <v>6182</v>
      </c>
      <c r="G1537" s="11"/>
      <c r="H1537" s="11"/>
      <c r="I1537" s="13">
        <v>0</v>
      </c>
      <c r="J1537" s="13">
        <v>1</v>
      </c>
      <c r="K1537" s="14" t="str">
        <f t="shared" si="267"/>
        <v>Twitter for Android</v>
      </c>
      <c r="L1537" s="13">
        <v>43</v>
      </c>
      <c r="M1537" s="13">
        <v>82</v>
      </c>
      <c r="N1537" s="13">
        <v>4</v>
      </c>
      <c r="O1537" s="15"/>
      <c r="P1537" s="6">
        <v>41674.790497685186</v>
      </c>
      <c r="Q1537" s="18" t="s">
        <v>6183</v>
      </c>
      <c r="R1537" s="19" t="s">
        <v>6184</v>
      </c>
      <c r="S1537" s="11"/>
      <c r="T1537" s="11"/>
      <c r="U1537" s="10" t="str">
        <f>HYPERLINK("https://pbs.twimg.com/profile_images/1069347652964413441/2O0aUWPm.jpg","View")</f>
        <v>View</v>
      </c>
    </row>
    <row r="1538" spans="1:21" ht="61.2">
      <c r="A1538" s="6">
        <v>43441.447152777779</v>
      </c>
      <c r="B1538" s="7" t="str">
        <f>HYPERLINK("https://twitter.com/monnissima","@monnissima")</f>
        <v>@monnissima</v>
      </c>
      <c r="C1538" s="8" t="s">
        <v>1199</v>
      </c>
      <c r="D1538" s="9" t="s">
        <v>6185</v>
      </c>
      <c r="E1538" s="10" t="str">
        <f>HYPERLINK("https://twitter.com/monnissima/status/1070977189808623621","1070977189808623621")</f>
        <v>1070977189808623621</v>
      </c>
      <c r="F1538" s="18" t="s">
        <v>6186</v>
      </c>
      <c r="G1538" s="11"/>
      <c r="H1538" s="11"/>
      <c r="I1538" s="13">
        <v>0</v>
      </c>
      <c r="J1538" s="13">
        <v>0</v>
      </c>
      <c r="K1538" s="14" t="str">
        <f t="shared" si="267"/>
        <v>Twitter for Android</v>
      </c>
      <c r="L1538" s="13">
        <v>10857</v>
      </c>
      <c r="M1538" s="13">
        <v>9917</v>
      </c>
      <c r="N1538" s="13">
        <v>77</v>
      </c>
      <c r="O1538" s="15"/>
      <c r="P1538" s="6">
        <v>39997.076874999999</v>
      </c>
      <c r="Q1538" s="11"/>
      <c r="R1538" s="19" t="s">
        <v>1202</v>
      </c>
      <c r="S1538" s="12" t="s">
        <v>1203</v>
      </c>
      <c r="T1538" s="11"/>
      <c r="U1538" s="10" t="str">
        <f>HYPERLINK("https://pbs.twimg.com/profile_images/689510954627940352/rz9xXJtn.jpg","View")</f>
        <v>View</v>
      </c>
    </row>
    <row r="1539" spans="1:21" ht="40.799999999999997">
      <c r="A1539" s="6">
        <v>43441.44666666667</v>
      </c>
      <c r="B1539" s="7" t="str">
        <f>HYPERLINK("https://twitter.com/migupelo2","@migupelo2")</f>
        <v>@migupelo2</v>
      </c>
      <c r="C1539" s="8" t="s">
        <v>1976</v>
      </c>
      <c r="D1539" s="9" t="s">
        <v>3081</v>
      </c>
      <c r="E1539" s="10" t="str">
        <f>HYPERLINK("https://twitter.com/migupelo2/status/1070977011672379392","1070977011672379392")</f>
        <v>1070977011672379392</v>
      </c>
      <c r="F1539" s="12" t="s">
        <v>3083</v>
      </c>
      <c r="G1539" s="11"/>
      <c r="H1539" s="11"/>
      <c r="I1539" s="13">
        <v>0</v>
      </c>
      <c r="J1539" s="13">
        <v>0</v>
      </c>
      <c r="K1539" s="14" t="str">
        <f>HYPERLINK("http://twitter.com","Twitter Web Client")</f>
        <v>Twitter Web Client</v>
      </c>
      <c r="L1539" s="13">
        <v>266</v>
      </c>
      <c r="M1539" s="13">
        <v>771</v>
      </c>
      <c r="N1539" s="13">
        <v>18</v>
      </c>
      <c r="O1539" s="15"/>
      <c r="P1539" s="6">
        <v>40477.868043981478</v>
      </c>
      <c r="Q1539" s="11"/>
      <c r="R1539" s="19" t="s">
        <v>1980</v>
      </c>
      <c r="S1539" s="11"/>
      <c r="T1539" s="11"/>
      <c r="U1539" s="10" t="str">
        <f>HYPERLINK("https://pbs.twimg.com/profile_images/2906316440/4ed1570f50fd6f70f1b28d458997dd81.jpeg","View")</f>
        <v>View</v>
      </c>
    </row>
    <row r="1540" spans="1:21" ht="81.599999999999994">
      <c r="A1540" s="6">
        <v>43441.445706018523</v>
      </c>
      <c r="B1540" s="7" t="str">
        <f>HYPERLINK("https://twitter.com/Josedocaldo","@Josedocaldo")</f>
        <v>@Josedocaldo</v>
      </c>
      <c r="C1540" s="8" t="s">
        <v>3087</v>
      </c>
      <c r="D1540" s="9" t="s">
        <v>3088</v>
      </c>
      <c r="E1540" s="10" t="str">
        <f>HYPERLINK("https://twitter.com/Josedocaldo/status/1070976667454242816","1070976667454242816")</f>
        <v>1070976667454242816</v>
      </c>
      <c r="F1540" s="12" t="s">
        <v>3089</v>
      </c>
      <c r="G1540" s="12" t="s">
        <v>3090</v>
      </c>
      <c r="H1540" s="11"/>
      <c r="I1540" s="13">
        <v>0</v>
      </c>
      <c r="J1540" s="13">
        <v>0</v>
      </c>
      <c r="K1540" s="14" t="str">
        <f>HYPERLINK("http://twitter.com/download/android","Twitter for Android")</f>
        <v>Twitter for Android</v>
      </c>
      <c r="L1540" s="13">
        <v>35</v>
      </c>
      <c r="M1540" s="13">
        <v>155</v>
      </c>
      <c r="N1540" s="13">
        <v>0</v>
      </c>
      <c r="O1540" s="15"/>
      <c r="P1540" s="6">
        <v>41647.958553240736</v>
      </c>
      <c r="Q1540" s="11"/>
      <c r="R1540" s="17"/>
      <c r="S1540" s="11"/>
      <c r="T1540" s="11"/>
      <c r="U1540" s="10" t="str">
        <f>HYPERLINK("https://pbs.twimg.com/profile_images/421040041578618880/Tc-1-liM.jpeg","View")</f>
        <v>View</v>
      </c>
    </row>
    <row r="1541" spans="1:21" ht="40.799999999999997">
      <c r="A1541" s="6">
        <v>43441.445625</v>
      </c>
      <c r="B1541" s="7" t="str">
        <f>HYPERLINK("https://twitter.com/vlcnoticias","@vlcnoticias")</f>
        <v>@vlcnoticias</v>
      </c>
      <c r="C1541" s="8" t="s">
        <v>6187</v>
      </c>
      <c r="D1541" s="9" t="s">
        <v>6188</v>
      </c>
      <c r="E1541" s="10" t="str">
        <f>HYPERLINK("https://twitter.com/vlcnoticias/status/1070976634247933953","1070976634247933953")</f>
        <v>1070976634247933953</v>
      </c>
      <c r="F1541" s="12" t="s">
        <v>6189</v>
      </c>
      <c r="G1541" s="12" t="s">
        <v>6190</v>
      </c>
      <c r="H1541" s="11"/>
      <c r="I1541" s="13">
        <v>0</v>
      </c>
      <c r="J1541" s="13">
        <v>0</v>
      </c>
      <c r="K1541" s="14" t="str">
        <f>HYPERLINK("http://www.vlcnoticias.com","Valencia noticias")</f>
        <v>Valencia noticias</v>
      </c>
      <c r="L1541" s="13">
        <v>7942</v>
      </c>
      <c r="M1541" s="13">
        <v>2051</v>
      </c>
      <c r="N1541" s="13">
        <v>162</v>
      </c>
      <c r="O1541" s="15"/>
      <c r="P1541" s="6">
        <v>40698.713090277779</v>
      </c>
      <c r="Q1541" s="18" t="s">
        <v>5390</v>
      </c>
      <c r="R1541" s="19" t="s">
        <v>6191</v>
      </c>
      <c r="S1541" s="12" t="s">
        <v>6192</v>
      </c>
      <c r="T1541" s="11"/>
      <c r="U1541" s="10" t="str">
        <f>HYPERLINK("https://pbs.twimg.com/profile_images/627524659311964160/t91T3boI.png","View")</f>
        <v>View</v>
      </c>
    </row>
    <row r="1542" spans="1:21" ht="30.6">
      <c r="A1542" s="6">
        <v>43441.445520833338</v>
      </c>
      <c r="B1542" s="7" t="str">
        <f>HYPERLINK("https://twitter.com/FG72373327","@FG72373327")</f>
        <v>@FG72373327</v>
      </c>
      <c r="C1542" s="8" t="s">
        <v>5355</v>
      </c>
      <c r="D1542" s="9" t="s">
        <v>6193</v>
      </c>
      <c r="E1542" s="10" t="str">
        <f>HYPERLINK("https://twitter.com/FG72373327/status/1070976597421768704","1070976597421768704")</f>
        <v>1070976597421768704</v>
      </c>
      <c r="F1542" s="11"/>
      <c r="G1542" s="12" t="s">
        <v>6194</v>
      </c>
      <c r="H1542" s="11"/>
      <c r="I1542" s="13">
        <v>0</v>
      </c>
      <c r="J1542" s="13">
        <v>0</v>
      </c>
      <c r="K1542" s="14" t="str">
        <f>HYPERLINK("http://twitter.com/download/iphone","Twitter for iPhone")</f>
        <v>Twitter for iPhone</v>
      </c>
      <c r="L1542" s="13">
        <v>888</v>
      </c>
      <c r="M1542" s="13">
        <v>926</v>
      </c>
      <c r="N1542" s="13">
        <v>6</v>
      </c>
      <c r="O1542" s="15"/>
      <c r="P1542" s="6">
        <v>42977.396006944444</v>
      </c>
      <c r="Q1542" s="18" t="s">
        <v>41</v>
      </c>
      <c r="R1542" s="17"/>
      <c r="S1542" s="11"/>
      <c r="T1542" s="11"/>
      <c r="U1542" s="10" t="str">
        <f>HYPERLINK("https://pbs.twimg.com/profile_images/902802729009111040/RUuGyEn7.jpg","View")</f>
        <v>View</v>
      </c>
    </row>
    <row r="1543" spans="1:21" ht="30.6">
      <c r="A1543" s="6">
        <v>43441.44425925926</v>
      </c>
      <c r="B1543" s="7" t="str">
        <f>HYPERLINK("https://twitter.com/OccupyInferno","@OccupyInferno")</f>
        <v>@OccupyInferno</v>
      </c>
      <c r="C1543" s="8" t="s">
        <v>6195</v>
      </c>
      <c r="D1543" s="9" t="s">
        <v>6196</v>
      </c>
      <c r="E1543" s="10" t="str">
        <f>HYPERLINK("https://twitter.com/OccupyInferno/status/1070976141832454144","1070976141832454144")</f>
        <v>1070976141832454144</v>
      </c>
      <c r="F1543" s="18" t="s">
        <v>6197</v>
      </c>
      <c r="G1543" s="11"/>
      <c r="H1543" s="11"/>
      <c r="I1543" s="13">
        <v>0</v>
      </c>
      <c r="J1543" s="13">
        <v>0</v>
      </c>
      <c r="K1543" s="14" t="str">
        <f>HYPERLINK("http://nuzzel.com/","Nuzzel")</f>
        <v>Nuzzel</v>
      </c>
      <c r="L1543" s="13">
        <v>775</v>
      </c>
      <c r="M1543" s="13">
        <v>1076</v>
      </c>
      <c r="N1543" s="13">
        <v>34</v>
      </c>
      <c r="O1543" s="15"/>
      <c r="P1543" s="6">
        <v>40778.030335648145</v>
      </c>
      <c r="Q1543" s="18" t="s">
        <v>6198</v>
      </c>
      <c r="R1543" s="19" t="s">
        <v>6199</v>
      </c>
      <c r="S1543" s="12" t="s">
        <v>6200</v>
      </c>
      <c r="T1543" s="11"/>
      <c r="U1543" s="10" t="str">
        <f>HYPERLINK("https://pbs.twimg.com/profile_images/1526651735/firefox.jpg","View")</f>
        <v>View</v>
      </c>
    </row>
    <row r="1544" spans="1:21" ht="40.799999999999997">
      <c r="A1544" s="6">
        <v>43441.443449074075</v>
      </c>
      <c r="B1544" s="7" t="str">
        <f>HYPERLINK("https://twitter.com/FG72373327","@FG72373327")</f>
        <v>@FG72373327</v>
      </c>
      <c r="C1544" s="8" t="s">
        <v>5355</v>
      </c>
      <c r="D1544" s="9" t="s">
        <v>6201</v>
      </c>
      <c r="E1544" s="10" t="str">
        <f>HYPERLINK("https://twitter.com/FG72373327/status/1070975846469357569","1070975846469357569")</f>
        <v>1070975846469357569</v>
      </c>
      <c r="F1544" s="18" t="s">
        <v>6202</v>
      </c>
      <c r="G1544" s="11"/>
      <c r="H1544" s="11"/>
      <c r="I1544" s="13">
        <v>0</v>
      </c>
      <c r="J1544" s="13">
        <v>0</v>
      </c>
      <c r="K1544" s="14" t="str">
        <f>HYPERLINK("http://twitter.com/download/iphone","Twitter for iPhone")</f>
        <v>Twitter for iPhone</v>
      </c>
      <c r="L1544" s="13">
        <v>888</v>
      </c>
      <c r="M1544" s="13">
        <v>926</v>
      </c>
      <c r="N1544" s="13">
        <v>6</v>
      </c>
      <c r="O1544" s="15"/>
      <c r="P1544" s="6">
        <v>42977.396006944444</v>
      </c>
      <c r="Q1544" s="18" t="s">
        <v>41</v>
      </c>
      <c r="R1544" s="17"/>
      <c r="S1544" s="11"/>
      <c r="T1544" s="11"/>
      <c r="U1544" s="10" t="str">
        <f>HYPERLINK("https://pbs.twimg.com/profile_images/902802729009111040/RUuGyEn7.jpg","View")</f>
        <v>View</v>
      </c>
    </row>
    <row r="1545" spans="1:21" ht="40.799999999999997">
      <c r="A1545" s="6">
        <v>43441.441736111112</v>
      </c>
      <c r="B1545" s="7" t="str">
        <f>HYPERLINK("https://twitter.com/Muriel_Rot","@Muriel_Rot")</f>
        <v>@Muriel_Rot</v>
      </c>
      <c r="C1545" s="8" t="s">
        <v>2807</v>
      </c>
      <c r="D1545" s="9" t="s">
        <v>3091</v>
      </c>
      <c r="E1545" s="10" t="str">
        <f>HYPERLINK("https://twitter.com/Muriel_Rot/status/1070975226178142208","1070975226178142208")</f>
        <v>1070975226178142208</v>
      </c>
      <c r="F1545" s="11"/>
      <c r="G1545" s="11"/>
      <c r="H1545" s="11"/>
      <c r="I1545" s="13">
        <v>2</v>
      </c>
      <c r="J1545" s="13">
        <v>3</v>
      </c>
      <c r="K1545" s="14" t="str">
        <f t="shared" ref="K1545:K1546" si="268">HYPERLINK("http://twitter.com/download/android","Twitter for Android")</f>
        <v>Twitter for Android</v>
      </c>
      <c r="L1545" s="13">
        <v>2445</v>
      </c>
      <c r="M1545" s="13">
        <v>1684</v>
      </c>
      <c r="N1545" s="13">
        <v>28</v>
      </c>
      <c r="O1545" s="15"/>
      <c r="P1545" s="6">
        <v>40921.429594907408</v>
      </c>
      <c r="Q1545" s="18" t="s">
        <v>42</v>
      </c>
      <c r="R1545" s="19" t="s">
        <v>2809</v>
      </c>
      <c r="S1545" s="11"/>
      <c r="T1545" s="11"/>
      <c r="U1545" s="10" t="str">
        <f>HYPERLINK("https://pbs.twimg.com/profile_images/531718380206948352/cfSL6DBr.jpeg","View")</f>
        <v>View</v>
      </c>
    </row>
    <row r="1546" spans="1:21" ht="30.6">
      <c r="A1546" s="6">
        <v>43441.440266203703</v>
      </c>
      <c r="B1546" s="7" t="str">
        <f>HYPERLINK("https://twitter.com/JuankarAB","@JuankarAB")</f>
        <v>@JuankarAB</v>
      </c>
      <c r="C1546" s="8" t="s">
        <v>3093</v>
      </c>
      <c r="D1546" s="9" t="s">
        <v>3094</v>
      </c>
      <c r="E1546" s="10" t="str">
        <f>HYPERLINK("https://twitter.com/JuankarAB/status/1070974694164180993","1070974694164180993")</f>
        <v>1070974694164180993</v>
      </c>
      <c r="F1546" s="18" t="s">
        <v>3095</v>
      </c>
      <c r="G1546" s="11"/>
      <c r="H1546" s="11"/>
      <c r="I1546" s="13">
        <v>0</v>
      </c>
      <c r="J1546" s="13">
        <v>0</v>
      </c>
      <c r="K1546" s="14" t="str">
        <f t="shared" si="268"/>
        <v>Twitter for Android</v>
      </c>
      <c r="L1546" s="13">
        <v>164</v>
      </c>
      <c r="M1546" s="13">
        <v>188</v>
      </c>
      <c r="N1546" s="13">
        <v>7</v>
      </c>
      <c r="O1546" s="15"/>
      <c r="P1546" s="6">
        <v>40531.577546296292</v>
      </c>
      <c r="Q1546" s="18" t="s">
        <v>42</v>
      </c>
      <c r="R1546" s="17"/>
      <c r="S1546" s="11"/>
      <c r="T1546" s="11"/>
      <c r="U1546" s="10" t="str">
        <f>HYPERLINK("https://pbs.twimg.com/profile_images/1009878145657458690/DpPpCec5.jpg","View")</f>
        <v>View</v>
      </c>
    </row>
    <row r="1547" spans="1:21" ht="61.2">
      <c r="A1547" s="6">
        <v>43441.439004629632</v>
      </c>
      <c r="B1547" s="7" t="str">
        <f>HYPERLINK("https://twitter.com/blngrrd","@blngrrd")</f>
        <v>@blngrrd</v>
      </c>
      <c r="C1547" s="8" t="s">
        <v>1530</v>
      </c>
      <c r="D1547" s="9" t="s">
        <v>3097</v>
      </c>
      <c r="E1547" s="10" t="str">
        <f>HYPERLINK("https://twitter.com/blngrrd/status/1070974235923939328","1070974235923939328")</f>
        <v>1070974235923939328</v>
      </c>
      <c r="F1547" s="12" t="s">
        <v>3098</v>
      </c>
      <c r="G1547" s="12" t="s">
        <v>3099</v>
      </c>
      <c r="H1547" s="11"/>
      <c r="I1547" s="13">
        <v>1</v>
      </c>
      <c r="J1547" s="13">
        <v>1</v>
      </c>
      <c r="K1547" s="14" t="str">
        <f>HYPERLINK("http://twitter.com","Twitter Web Client")</f>
        <v>Twitter Web Client</v>
      </c>
      <c r="L1547" s="13">
        <v>278</v>
      </c>
      <c r="M1547" s="13">
        <v>360</v>
      </c>
      <c r="N1547" s="13">
        <v>0</v>
      </c>
      <c r="O1547" s="15"/>
      <c r="P1547" s="6">
        <v>42117.671053240745</v>
      </c>
      <c r="Q1547" s="11"/>
      <c r="R1547" s="19" t="s">
        <v>1537</v>
      </c>
      <c r="S1547" s="11"/>
      <c r="T1547" s="11"/>
      <c r="U1547" s="10" t="str">
        <f>HYPERLINK("https://pbs.twimg.com/profile_images/1038120833535954944/Rwz5MGe6.jpg","View")</f>
        <v>View</v>
      </c>
    </row>
    <row r="1548" spans="1:21" ht="51">
      <c r="A1548" s="6">
        <v>43441.437372685185</v>
      </c>
      <c r="B1548" s="7" t="str">
        <f>HYPERLINK("https://twitter.com/karlseta_2","@karlseta_2")</f>
        <v>@karlseta_2</v>
      </c>
      <c r="C1548" s="8" t="s">
        <v>652</v>
      </c>
      <c r="D1548" s="9" t="s">
        <v>3100</v>
      </c>
      <c r="E1548" s="10" t="str">
        <f>HYPERLINK("https://twitter.com/karlseta_2/status/1070973645412057088","1070973645412057088")</f>
        <v>1070973645412057088</v>
      </c>
      <c r="F1548" s="12" t="s">
        <v>3103</v>
      </c>
      <c r="G1548" s="11"/>
      <c r="H1548" s="11"/>
      <c r="I1548" s="13">
        <v>2</v>
      </c>
      <c r="J1548" s="13">
        <v>6</v>
      </c>
      <c r="K1548" s="14" t="str">
        <f>HYPERLINK("http://twitter.com/download/android","Twitter for Android")</f>
        <v>Twitter for Android</v>
      </c>
      <c r="L1548" s="13">
        <v>1237</v>
      </c>
      <c r="M1548" s="13">
        <v>1135</v>
      </c>
      <c r="N1548" s="13">
        <v>0</v>
      </c>
      <c r="O1548" s="15"/>
      <c r="P1548" s="6">
        <v>43209.593599537038</v>
      </c>
      <c r="Q1548" s="18" t="s">
        <v>655</v>
      </c>
      <c r="R1548" s="19" t="s">
        <v>656</v>
      </c>
      <c r="S1548" s="11"/>
      <c r="T1548" s="11"/>
      <c r="U1548" s="10" t="str">
        <f>HYPERLINK("https://pbs.twimg.com/profile_images/1057562733988798464/NVHu_6Bc.jpg","View")</f>
        <v>View</v>
      </c>
    </row>
    <row r="1549" spans="1:21" ht="51">
      <c r="A1549" s="6">
        <v>43441.436828703707</v>
      </c>
      <c r="B1549" s="7" t="str">
        <f>HYPERLINK("https://twitter.com/AhoraCantabria","@AhoraCantabria")</f>
        <v>@AhoraCantabria</v>
      </c>
      <c r="C1549" s="8" t="s">
        <v>3104</v>
      </c>
      <c r="D1549" s="9" t="s">
        <v>3105</v>
      </c>
      <c r="E1549" s="10" t="str">
        <f>HYPERLINK("https://twitter.com/AhoraCantabria/status/1070973446753083393","1070973446753083393")</f>
        <v>1070973446753083393</v>
      </c>
      <c r="F1549" s="11"/>
      <c r="G1549" s="12" t="s">
        <v>3107</v>
      </c>
      <c r="H1549" s="11"/>
      <c r="I1549" s="13">
        <v>0</v>
      </c>
      <c r="J1549" s="13">
        <v>0</v>
      </c>
      <c r="K1549" s="14" t="str">
        <f>HYPERLINK("https://buffer.com","Buffer")</f>
        <v>Buffer</v>
      </c>
      <c r="L1549" s="13">
        <v>8608</v>
      </c>
      <c r="M1549" s="13">
        <v>1423</v>
      </c>
      <c r="N1549" s="13">
        <v>134</v>
      </c>
      <c r="O1549" s="15"/>
      <c r="P1549" s="6">
        <v>41200.829687500001</v>
      </c>
      <c r="Q1549" s="18" t="s">
        <v>3108</v>
      </c>
      <c r="R1549" s="19" t="s">
        <v>3109</v>
      </c>
      <c r="S1549" s="12" t="s">
        <v>3110</v>
      </c>
      <c r="T1549" s="11"/>
      <c r="U1549" s="10" t="str">
        <f>HYPERLINK("https://pbs.twimg.com/profile_images/978940959617617922/UqYGk2Wc.jpg","View")</f>
        <v>View</v>
      </c>
    </row>
    <row r="1550" spans="1:21" ht="40.799999999999997">
      <c r="A1550" s="6">
        <v>43441.436481481476</v>
      </c>
      <c r="B1550" s="7" t="str">
        <f>HYPERLINK("https://twitter.com/alvaro_munher","@alvaro_munher")</f>
        <v>@alvaro_munher</v>
      </c>
      <c r="C1550" s="8" t="s">
        <v>3112</v>
      </c>
      <c r="D1550" s="9" t="s">
        <v>3113</v>
      </c>
      <c r="E1550" s="10" t="str">
        <f>HYPERLINK("https://twitter.com/alvaro_munher/status/1070973320785469440","1070973320785469440")</f>
        <v>1070973320785469440</v>
      </c>
      <c r="F1550" s="18" t="s">
        <v>3114</v>
      </c>
      <c r="G1550" s="11"/>
      <c r="H1550" s="11"/>
      <c r="I1550" s="13">
        <v>0</v>
      </c>
      <c r="J1550" s="13">
        <v>0</v>
      </c>
      <c r="K1550" s="14" t="str">
        <f>HYPERLINK("http://twitter.com/download/android","Twitter for Android")</f>
        <v>Twitter for Android</v>
      </c>
      <c r="L1550" s="13">
        <v>68</v>
      </c>
      <c r="M1550" s="13">
        <v>93</v>
      </c>
      <c r="N1550" s="13">
        <v>0</v>
      </c>
      <c r="O1550" s="15"/>
      <c r="P1550" s="6">
        <v>43269.804861111115</v>
      </c>
      <c r="Q1550" s="18" t="s">
        <v>462</v>
      </c>
      <c r="R1550" s="19" t="s">
        <v>3115</v>
      </c>
      <c r="S1550" s="11"/>
      <c r="T1550" s="11"/>
      <c r="U1550" s="10" t="str">
        <f>HYPERLINK("https://pbs.twimg.com/profile_images/1040370321537331201/KNWkwanr.jpg","View")</f>
        <v>View</v>
      </c>
    </row>
    <row r="1551" spans="1:21" ht="40.799999999999997">
      <c r="A1551" s="6">
        <v>43441.436412037037</v>
      </c>
      <c r="B1551" s="7" t="str">
        <f>HYPERLINK("https://twitter.com/Ben_Quick_","@Ben_Quick_")</f>
        <v>@Ben_Quick_</v>
      </c>
      <c r="C1551" s="8" t="s">
        <v>1330</v>
      </c>
      <c r="D1551" s="9" t="s">
        <v>6203</v>
      </c>
      <c r="E1551" s="10" t="str">
        <f>HYPERLINK("https://twitter.com/Ben_Quick_/status/1070973295514787840","1070973295514787840")</f>
        <v>1070973295514787840</v>
      </c>
      <c r="F1551" s="12" t="s">
        <v>5842</v>
      </c>
      <c r="G1551" s="11"/>
      <c r="H1551" s="11"/>
      <c r="I1551" s="13">
        <v>0</v>
      </c>
      <c r="J1551" s="13">
        <v>0</v>
      </c>
      <c r="K1551" s="14" t="str">
        <f>HYPERLINK("https://ifttt.com","IFTTT")</f>
        <v>IFTTT</v>
      </c>
      <c r="L1551" s="13">
        <v>3338</v>
      </c>
      <c r="M1551" s="13">
        <v>3372</v>
      </c>
      <c r="N1551" s="13">
        <v>8</v>
      </c>
      <c r="O1551" s="15"/>
      <c r="P1551" s="6">
        <v>43009.054664351846</v>
      </c>
      <c r="Q1551" s="18" t="s">
        <v>1336</v>
      </c>
      <c r="R1551" s="19" t="s">
        <v>1338</v>
      </c>
      <c r="S1551" s="11"/>
      <c r="T1551" s="11"/>
      <c r="U1551" s="10" t="str">
        <f>HYPERLINK("https://pbs.twimg.com/profile_images/914270747845173248/2weEqrIZ.jpg","View")</f>
        <v>View</v>
      </c>
    </row>
    <row r="1552" spans="1:21" ht="51">
      <c r="A1552" s="6">
        <v>43441.436307870375</v>
      </c>
      <c r="B1552" s="7" t="str">
        <f>HYPERLINK("https://twitter.com/Yankas","@Yankas")</f>
        <v>@Yankas</v>
      </c>
      <c r="C1552" s="8" t="s">
        <v>6204</v>
      </c>
      <c r="D1552" s="9" t="s">
        <v>6205</v>
      </c>
      <c r="E1552" s="10" t="str">
        <f>HYPERLINK("https://twitter.com/Yankas/status/1070973260601413632","1070973260601413632")</f>
        <v>1070973260601413632</v>
      </c>
      <c r="F1552" s="12" t="s">
        <v>6206</v>
      </c>
      <c r="G1552" s="11"/>
      <c r="H1552" s="11"/>
      <c r="I1552" s="13">
        <v>0</v>
      </c>
      <c r="J1552" s="13">
        <v>1</v>
      </c>
      <c r="K1552" s="14" t="str">
        <f t="shared" ref="K1552:K1553" si="269">HYPERLINK("http://twitter.com","Twitter Web Client")</f>
        <v>Twitter Web Client</v>
      </c>
      <c r="L1552" s="13">
        <v>2048</v>
      </c>
      <c r="M1552" s="13">
        <v>2760</v>
      </c>
      <c r="N1552" s="13">
        <v>176</v>
      </c>
      <c r="O1552" s="15"/>
      <c r="P1552" s="6">
        <v>39711.629560185189</v>
      </c>
      <c r="Q1552" s="18" t="s">
        <v>6207</v>
      </c>
      <c r="R1552" s="19" t="s">
        <v>6208</v>
      </c>
      <c r="S1552" s="12" t="s">
        <v>6209</v>
      </c>
      <c r="T1552" s="11"/>
      <c r="U1552" s="10" t="str">
        <f>HYPERLINK("https://pbs.twimg.com/profile_images/1051054624885620737/hXZTOcET.jpg","View")</f>
        <v>View</v>
      </c>
    </row>
    <row r="1553" spans="1:21" ht="20.399999999999999">
      <c r="A1553" s="6">
        <v>43441.434745370367</v>
      </c>
      <c r="B1553" s="7" t="str">
        <f>HYPERLINK("https://twitter.com/Vinilo7","@Vinilo7")</f>
        <v>@Vinilo7</v>
      </c>
      <c r="C1553" s="8" t="s">
        <v>6210</v>
      </c>
      <c r="D1553" s="9" t="s">
        <v>6211</v>
      </c>
      <c r="E1553" s="10" t="str">
        <f>HYPERLINK("https://twitter.com/Vinilo7/status/1070972695024689152","1070972695024689152")</f>
        <v>1070972695024689152</v>
      </c>
      <c r="F1553" s="12" t="s">
        <v>6212</v>
      </c>
      <c r="G1553" s="11"/>
      <c r="H1553" s="11"/>
      <c r="I1553" s="13">
        <v>0</v>
      </c>
      <c r="J1553" s="13">
        <v>0</v>
      </c>
      <c r="K1553" s="14" t="str">
        <f t="shared" si="269"/>
        <v>Twitter Web Client</v>
      </c>
      <c r="L1553" s="13">
        <v>1093</v>
      </c>
      <c r="M1553" s="13">
        <v>1416</v>
      </c>
      <c r="N1553" s="13">
        <v>36</v>
      </c>
      <c r="O1553" s="15"/>
      <c r="P1553" s="6">
        <v>40643.022013888891</v>
      </c>
      <c r="Q1553" s="18" t="s">
        <v>6213</v>
      </c>
      <c r="R1553" s="17"/>
      <c r="S1553" s="11"/>
      <c r="T1553" s="11"/>
      <c r="U1553" s="10" t="str">
        <f>HYPERLINK("https://pbs.twimg.com/profile_images/827543676868030470/v55vilbm.jpg","View")</f>
        <v>View</v>
      </c>
    </row>
    <row r="1554" spans="1:21" ht="61.2">
      <c r="A1554" s="6">
        <v>43441.433912037042</v>
      </c>
      <c r="B1554" s="7" t="str">
        <f>HYPERLINK("https://twitter.com/Anaregblanco","@Anaregblanco")</f>
        <v>@Anaregblanco</v>
      </c>
      <c r="C1554" s="8" t="s">
        <v>3116</v>
      </c>
      <c r="D1554" s="9" t="s">
        <v>3117</v>
      </c>
      <c r="E1554" s="10" t="str">
        <f>HYPERLINK("https://twitter.com/Anaregblanco/status/1070972393282265089","1070972393282265089")</f>
        <v>1070972393282265089</v>
      </c>
      <c r="F1554" s="11"/>
      <c r="G1554" s="11"/>
      <c r="H1554" s="11"/>
      <c r="I1554" s="13">
        <v>1</v>
      </c>
      <c r="J1554" s="13">
        <v>9</v>
      </c>
      <c r="K1554" s="14" t="str">
        <f>HYPERLINK("http://twitter.com/download/iphone","Twitter for iPhone")</f>
        <v>Twitter for iPhone</v>
      </c>
      <c r="L1554" s="13">
        <v>1235</v>
      </c>
      <c r="M1554" s="13">
        <v>1105</v>
      </c>
      <c r="N1554" s="13">
        <v>22</v>
      </c>
      <c r="O1554" s="15"/>
      <c r="P1554" s="6">
        <v>40410.474490740744</v>
      </c>
      <c r="Q1554" s="11"/>
      <c r="R1554" s="19" t="s">
        <v>3118</v>
      </c>
      <c r="S1554" s="11"/>
      <c r="T1554" s="11"/>
      <c r="U1554" s="10" t="str">
        <f>HYPERLINK("https://pbs.twimg.com/profile_images/1065526591780999168/vuK9rZ94.jpg","View")</f>
        <v>View</v>
      </c>
    </row>
    <row r="1555" spans="1:21" ht="40.799999999999997">
      <c r="A1555" s="6">
        <v>43441.433912037042</v>
      </c>
      <c r="B1555" s="7" t="str">
        <f>HYPERLINK("https://twitter.com/migupelo2","@migupelo2")</f>
        <v>@migupelo2</v>
      </c>
      <c r="C1555" s="8" t="s">
        <v>1976</v>
      </c>
      <c r="D1555" s="9" t="s">
        <v>3122</v>
      </c>
      <c r="E1555" s="10" t="str">
        <f>HYPERLINK("https://twitter.com/migupelo2/status/1070972393013895168","1070972393013895168")</f>
        <v>1070972393013895168</v>
      </c>
      <c r="F1555" s="12" t="s">
        <v>3123</v>
      </c>
      <c r="G1555" s="11"/>
      <c r="H1555" s="11"/>
      <c r="I1555" s="13">
        <v>0</v>
      </c>
      <c r="J1555" s="13">
        <v>0</v>
      </c>
      <c r="K1555" s="14" t="str">
        <f>HYPERLINK("http://twitter.com","Twitter Web Client")</f>
        <v>Twitter Web Client</v>
      </c>
      <c r="L1555" s="13">
        <v>266</v>
      </c>
      <c r="M1555" s="13">
        <v>771</v>
      </c>
      <c r="N1555" s="13">
        <v>18</v>
      </c>
      <c r="O1555" s="15"/>
      <c r="P1555" s="6">
        <v>40477.868043981478</v>
      </c>
      <c r="Q1555" s="11"/>
      <c r="R1555" s="19" t="s">
        <v>1980</v>
      </c>
      <c r="S1555" s="11"/>
      <c r="T1555" s="11"/>
      <c r="U1555" s="10" t="str">
        <f>HYPERLINK("https://pbs.twimg.com/profile_images/2906316440/4ed1570f50fd6f70f1b28d458997dd81.jpeg","View")</f>
        <v>View</v>
      </c>
    </row>
    <row r="1556" spans="1:21" ht="30.6">
      <c r="A1556" s="6">
        <v>43441.433541666665</v>
      </c>
      <c r="B1556" s="7" t="str">
        <f>HYPERLINK("https://twitter.com/LadyGodivaLib","@LadyGodivaLib")</f>
        <v>@LadyGodivaLib</v>
      </c>
      <c r="C1556" s="8" t="s">
        <v>6214</v>
      </c>
      <c r="D1556" s="9" t="s">
        <v>6008</v>
      </c>
      <c r="E1556" s="10" t="str">
        <f>HYPERLINK("https://twitter.com/LadyGodivaLib/status/1070972257755914240","1070972257755914240")</f>
        <v>1070972257755914240</v>
      </c>
      <c r="F1556" s="12" t="s">
        <v>5842</v>
      </c>
      <c r="G1556" s="11"/>
      <c r="H1556" s="11"/>
      <c r="I1556" s="13">
        <v>0</v>
      </c>
      <c r="J1556" s="13">
        <v>0</v>
      </c>
      <c r="K1556" s="14" t="str">
        <f>HYPERLINK("http://twitter.com/download/iphone","Twitter for iPhone")</f>
        <v>Twitter for iPhone</v>
      </c>
      <c r="L1556" s="13">
        <v>171</v>
      </c>
      <c r="M1556" s="13">
        <v>309</v>
      </c>
      <c r="N1556" s="13">
        <v>1</v>
      </c>
      <c r="O1556" s="15"/>
      <c r="P1556" s="6">
        <v>43373.990891203706</v>
      </c>
      <c r="Q1556" s="18" t="s">
        <v>42</v>
      </c>
      <c r="R1556" s="19" t="s">
        <v>6215</v>
      </c>
      <c r="S1556" s="11"/>
      <c r="T1556" s="11"/>
      <c r="U1556" s="10" t="str">
        <f>HYPERLINK("https://pbs.twimg.com/profile_images/1046517219839152128/IazP7HUi.jpg","View")</f>
        <v>View</v>
      </c>
    </row>
    <row r="1557" spans="1:21" ht="20.399999999999999">
      <c r="A1557" s="6">
        <v>43441.431944444441</v>
      </c>
      <c r="B1557" s="7" t="str">
        <f>HYPERLINK("https://twitter.com/A3Noticias","@A3Noticias")</f>
        <v>@A3Noticias</v>
      </c>
      <c r="C1557" s="8" t="s">
        <v>3827</v>
      </c>
      <c r="D1557" s="9" t="s">
        <v>6216</v>
      </c>
      <c r="E1557" s="10" t="str">
        <f>HYPERLINK("https://twitter.com/A3Noticias/status/1070971680464482305","1070971680464482305")</f>
        <v>1070971680464482305</v>
      </c>
      <c r="F1557" s="12" t="s">
        <v>6217</v>
      </c>
      <c r="G1557" s="11"/>
      <c r="H1557" s="11"/>
      <c r="I1557" s="13">
        <v>4</v>
      </c>
      <c r="J1557" s="13">
        <v>8</v>
      </c>
      <c r="K1557" s="14" t="str">
        <f>HYPERLINK("http://dogtrack.es","DogTrack_Oficial")</f>
        <v>DogTrack_Oficial</v>
      </c>
      <c r="L1557" s="13">
        <v>1723922</v>
      </c>
      <c r="M1557" s="13">
        <v>407</v>
      </c>
      <c r="N1557" s="13">
        <v>8116</v>
      </c>
      <c r="O1557" s="16" t="s">
        <v>25</v>
      </c>
      <c r="P1557" s="6">
        <v>40318.523495370369</v>
      </c>
      <c r="Q1557" s="11"/>
      <c r="R1557" s="19" t="s">
        <v>3832</v>
      </c>
      <c r="S1557" s="12" t="s">
        <v>3833</v>
      </c>
      <c r="T1557" s="11"/>
      <c r="U1557" s="10" t="str">
        <f>HYPERLINK("https://pbs.twimg.com/profile_images/1047424467411107840/znEO0bjJ.jpg","View")</f>
        <v>View</v>
      </c>
    </row>
    <row r="1558" spans="1:21" ht="20.399999999999999">
      <c r="A1558" s="6">
        <v>43441.431388888886</v>
      </c>
      <c r="B1558" s="7" t="str">
        <f>HYPERLINK("https://twitter.com/CwhRoss","@CwhRoss")</f>
        <v>@CwhRoss</v>
      </c>
      <c r="C1558" s="8" t="s">
        <v>3241</v>
      </c>
      <c r="D1558" s="9" t="s">
        <v>1833</v>
      </c>
      <c r="E1558" s="10" t="str">
        <f>HYPERLINK("https://twitter.com/CwhRoss/status/1070971477103730694","1070971477103730694")</f>
        <v>1070971477103730694</v>
      </c>
      <c r="F1558" s="12" t="s">
        <v>6218</v>
      </c>
      <c r="G1558" s="11"/>
      <c r="H1558" s="11"/>
      <c r="I1558" s="13">
        <v>0</v>
      </c>
      <c r="J1558" s="13">
        <v>0</v>
      </c>
      <c r="K1558" s="14" t="str">
        <f t="shared" ref="K1558:K1559" si="270">HYPERLINK("http://www.facebook.com/twitter","Facebook")</f>
        <v>Facebook</v>
      </c>
      <c r="L1558" s="13">
        <v>170</v>
      </c>
      <c r="M1558" s="13">
        <v>2</v>
      </c>
      <c r="N1558" s="13">
        <v>45</v>
      </c>
      <c r="O1558" s="15"/>
      <c r="P1558" s="6">
        <v>41008.781701388885</v>
      </c>
      <c r="Q1558" s="18" t="s">
        <v>3245</v>
      </c>
      <c r="R1558" s="28" t="s">
        <v>3246</v>
      </c>
      <c r="S1558" s="12" t="s">
        <v>3250</v>
      </c>
      <c r="T1558" s="11"/>
      <c r="U1558" s="10" t="str">
        <f>HYPERLINK("https://pbs.twimg.com/profile_images/2076887937/Copy_of_cerdo_con_maciza.jpg","View")</f>
        <v>View</v>
      </c>
    </row>
    <row r="1559" spans="1:21" ht="40.799999999999997">
      <c r="A1559" s="6">
        <v>43441.427789351852</v>
      </c>
      <c r="B1559" s="7" t="str">
        <f>HYPERLINK("https://twitter.com/josepmartis","@josepmartis")</f>
        <v>@josepmartis</v>
      </c>
      <c r="C1559" s="8" t="s">
        <v>6219</v>
      </c>
      <c r="D1559" s="9" t="s">
        <v>347</v>
      </c>
      <c r="E1559" s="10" t="str">
        <f>HYPERLINK("https://twitter.com/josepmartis/status/1070970172603854848","1070970172603854848")</f>
        <v>1070970172603854848</v>
      </c>
      <c r="F1559" s="12" t="s">
        <v>166</v>
      </c>
      <c r="G1559" s="11"/>
      <c r="H1559" s="11"/>
      <c r="I1559" s="13">
        <v>0</v>
      </c>
      <c r="J1559" s="13">
        <v>0</v>
      </c>
      <c r="K1559" s="14" t="str">
        <f t="shared" si="270"/>
        <v>Facebook</v>
      </c>
      <c r="L1559" s="13">
        <v>434</v>
      </c>
      <c r="M1559" s="13">
        <v>753</v>
      </c>
      <c r="N1559" s="13">
        <v>0</v>
      </c>
      <c r="O1559" s="15"/>
      <c r="P1559" s="6">
        <v>41325.999479166669</v>
      </c>
      <c r="Q1559" s="18" t="s">
        <v>6220</v>
      </c>
      <c r="R1559" s="19" t="s">
        <v>6221</v>
      </c>
      <c r="S1559" s="12" t="s">
        <v>6222</v>
      </c>
      <c r="T1559" s="11"/>
      <c r="U1559" s="10" t="str">
        <f>HYPERLINK("https://pbs.twimg.com/profile_images/510122859352440832/3d5-CdAY.jpeg","View")</f>
        <v>View</v>
      </c>
    </row>
    <row r="1560" spans="1:21" ht="20.399999999999999">
      <c r="A1560" s="6">
        <v>43441.427766203706</v>
      </c>
      <c r="B1560" s="7" t="str">
        <f>HYPERLINK("https://twitter.com/notflags","@notflags")</f>
        <v>@notflags</v>
      </c>
      <c r="C1560" s="8" t="s">
        <v>6223</v>
      </c>
      <c r="D1560" s="9" t="s">
        <v>6224</v>
      </c>
      <c r="E1560" s="10" t="str">
        <f>HYPERLINK("https://twitter.com/notflags/status/1070970165809086465","1070970165809086465")</f>
        <v>1070970165809086465</v>
      </c>
      <c r="F1560" s="12" t="s">
        <v>6225</v>
      </c>
      <c r="G1560" s="11"/>
      <c r="H1560" s="11"/>
      <c r="I1560" s="13">
        <v>1</v>
      </c>
      <c r="J1560" s="13">
        <v>0</v>
      </c>
      <c r="K1560" s="14" t="str">
        <f>HYPERLINK("http://twitter.com/download/iphone","Twitter for iPhone")</f>
        <v>Twitter for iPhone</v>
      </c>
      <c r="L1560" s="13">
        <v>99</v>
      </c>
      <c r="M1560" s="13">
        <v>312</v>
      </c>
      <c r="N1560" s="13">
        <v>3</v>
      </c>
      <c r="O1560" s="15"/>
      <c r="P1560" s="6">
        <v>40896.676412037035</v>
      </c>
      <c r="Q1560" s="11"/>
      <c r="R1560" s="19" t="s">
        <v>6226</v>
      </c>
      <c r="S1560" s="11"/>
      <c r="T1560" s="11"/>
      <c r="U1560" s="10" t="str">
        <f>HYPERLINK("https://pbs.twimg.com/profile_images/1066738713563226113/c_qQLUxk.jpg","View")</f>
        <v>View</v>
      </c>
    </row>
    <row r="1561" spans="1:21" ht="51">
      <c r="A1561" s="6">
        <v>43441.427557870367</v>
      </c>
      <c r="B1561" s="7" t="str">
        <f>HYPERLINK("https://twitter.com/GalceranDeOlesa","@GalceranDeOlesa")</f>
        <v>@GalceranDeOlesa</v>
      </c>
      <c r="C1561" s="8" t="s">
        <v>3128</v>
      </c>
      <c r="D1561" s="9" t="s">
        <v>3129</v>
      </c>
      <c r="E1561" s="10" t="str">
        <f>HYPERLINK("https://twitter.com/GalceranDeOlesa/status/1070970088763916288","1070970088763916288")</f>
        <v>1070970088763916288</v>
      </c>
      <c r="F1561" s="12" t="s">
        <v>3130</v>
      </c>
      <c r="G1561" s="11"/>
      <c r="H1561" s="11"/>
      <c r="I1561" s="13">
        <v>0</v>
      </c>
      <c r="J1561" s="13">
        <v>0</v>
      </c>
      <c r="K1561" s="14" t="str">
        <f>HYPERLINK("http://twitter.com/#!/download/ipad","Twitter for iPad")</f>
        <v>Twitter for iPad</v>
      </c>
      <c r="L1561" s="13">
        <v>143</v>
      </c>
      <c r="M1561" s="13">
        <v>233</v>
      </c>
      <c r="N1561" s="13">
        <v>0</v>
      </c>
      <c r="O1561" s="15"/>
      <c r="P1561" s="6">
        <v>43287.295081018514</v>
      </c>
      <c r="Q1561" s="11"/>
      <c r="R1561" s="19" t="s">
        <v>3132</v>
      </c>
      <c r="S1561" s="11"/>
      <c r="T1561" s="11"/>
      <c r="U1561" s="10" t="str">
        <f>HYPERLINK("https://pbs.twimg.com/profile_images/1015110125747691520/Z2yPcTwf.jpg","View")</f>
        <v>View</v>
      </c>
    </row>
    <row r="1562" spans="1:21" ht="40.799999999999997">
      <c r="A1562" s="6">
        <v>43441.427500000005</v>
      </c>
      <c r="B1562" s="7" t="str">
        <f>HYPERLINK("https://twitter.com/Buru_Blue","@Buru_Blue")</f>
        <v>@Buru_Blue</v>
      </c>
      <c r="C1562" s="8" t="s">
        <v>3133</v>
      </c>
      <c r="D1562" s="9" t="s">
        <v>3135</v>
      </c>
      <c r="E1562" s="10" t="str">
        <f>HYPERLINK("https://twitter.com/Buru_Blue/status/1070970069490880512","1070970069490880512")</f>
        <v>1070970069490880512</v>
      </c>
      <c r="F1562" s="11"/>
      <c r="G1562" s="12" t="s">
        <v>3137</v>
      </c>
      <c r="H1562" s="11"/>
      <c r="I1562" s="13">
        <v>0</v>
      </c>
      <c r="J1562" s="13">
        <v>0</v>
      </c>
      <c r="K1562" s="14" t="str">
        <f>HYPERLINK("http://twitter.com/download/android","Twitter for Android")</f>
        <v>Twitter for Android</v>
      </c>
      <c r="L1562" s="13">
        <v>297</v>
      </c>
      <c r="M1562" s="13">
        <v>351</v>
      </c>
      <c r="N1562" s="13">
        <v>10</v>
      </c>
      <c r="O1562" s="15"/>
      <c r="P1562" s="6">
        <v>40962.750254629631</v>
      </c>
      <c r="Q1562" s="18" t="s">
        <v>3138</v>
      </c>
      <c r="R1562" s="19" t="s">
        <v>3139</v>
      </c>
      <c r="S1562" s="11"/>
      <c r="T1562" s="11"/>
      <c r="U1562" s="10" t="str">
        <f>HYPERLINK("https://pbs.twimg.com/profile_images/963443386303819781/SURJU9UG.jpg","View")</f>
        <v>View</v>
      </c>
    </row>
    <row r="1563" spans="1:21" ht="13.2">
      <c r="A1563" s="6">
        <v>43441.427384259259</v>
      </c>
      <c r="B1563" s="7" t="str">
        <f>HYPERLINK("https://twitter.com/ACASODELOSCOBOS","@ACASODELOSCOBOS")</f>
        <v>@ACASODELOSCOBOS</v>
      </c>
      <c r="C1563" s="8" t="s">
        <v>6227</v>
      </c>
      <c r="D1563" s="9" t="s">
        <v>6228</v>
      </c>
      <c r="E1563" s="10" t="str">
        <f>HYPERLINK("https://twitter.com/ACASODELOSCOBOS/status/1070970026793033728","1070970026793033728")</f>
        <v>1070970026793033728</v>
      </c>
      <c r="F1563" s="12" t="s">
        <v>6229</v>
      </c>
      <c r="G1563" s="11"/>
      <c r="H1563" s="11"/>
      <c r="I1563" s="13">
        <v>0</v>
      </c>
      <c r="J1563" s="13">
        <v>0</v>
      </c>
      <c r="K1563" s="14" t="str">
        <f>HYPERLINK("http://www.facebook.com/twitter","Facebook")</f>
        <v>Facebook</v>
      </c>
      <c r="L1563" s="13">
        <v>87</v>
      </c>
      <c r="M1563" s="13">
        <v>174</v>
      </c>
      <c r="N1563" s="13">
        <v>2</v>
      </c>
      <c r="O1563" s="15"/>
      <c r="P1563" s="6">
        <v>40589.591666666667</v>
      </c>
      <c r="Q1563" s="18" t="s">
        <v>6230</v>
      </c>
      <c r="R1563" s="17"/>
      <c r="S1563" s="12" t="s">
        <v>6231</v>
      </c>
      <c r="T1563" s="11"/>
      <c r="U1563" s="10" t="str">
        <f>HYPERLINK("https://pbs.twimg.com/profile_images/1245096384/edicion.jpg","View")</f>
        <v>View</v>
      </c>
    </row>
    <row r="1564" spans="1:21" ht="40.799999999999997">
      <c r="A1564" s="6">
        <v>43441.427152777775</v>
      </c>
      <c r="B1564" s="7" t="str">
        <f>HYPERLINK("https://twitter.com/Mariofutcam10","@Mariofutcam10")</f>
        <v>@Mariofutcam10</v>
      </c>
      <c r="C1564" s="8" t="s">
        <v>6232</v>
      </c>
      <c r="D1564" s="9" t="s">
        <v>6233</v>
      </c>
      <c r="E1564" s="10" t="str">
        <f>HYPERLINK("https://twitter.com/Mariofutcam10/status/1070969942743416833","1070969942743416833")</f>
        <v>1070969942743416833</v>
      </c>
      <c r="F1564" s="12" t="s">
        <v>3130</v>
      </c>
      <c r="G1564" s="11"/>
      <c r="H1564" s="11"/>
      <c r="I1564" s="13">
        <v>0</v>
      </c>
      <c r="J1564" s="13">
        <v>0</v>
      </c>
      <c r="K1564" s="14" t="str">
        <f>HYPERLINK("http://twitter.com/download/iphone","Twitter for iPhone")</f>
        <v>Twitter for iPhone</v>
      </c>
      <c r="L1564" s="13">
        <v>10</v>
      </c>
      <c r="M1564" s="13">
        <v>45</v>
      </c>
      <c r="N1564" s="13">
        <v>1</v>
      </c>
      <c r="O1564" s="15"/>
      <c r="P1564" s="6">
        <v>41365.600856481484</v>
      </c>
      <c r="Q1564" s="11"/>
      <c r="R1564" s="17"/>
      <c r="S1564" s="11"/>
      <c r="T1564" s="11"/>
      <c r="U1564" s="10" t="str">
        <f>HYPERLINK("https://pbs.twimg.com/profile_images/608667847703834624/LS0kjCJq.jpg","View")</f>
        <v>View</v>
      </c>
    </row>
    <row r="1565" spans="1:21" ht="51">
      <c r="A1565" s="6">
        <v>43441.42659722222</v>
      </c>
      <c r="B1565" s="7" t="str">
        <f>HYPERLINK("https://twitter.com/CidCastellano","@CidCastellano")</f>
        <v>@CidCastellano</v>
      </c>
      <c r="C1565" s="8" t="s">
        <v>3140</v>
      </c>
      <c r="D1565" s="9" t="s">
        <v>3141</v>
      </c>
      <c r="E1565" s="10" t="str">
        <f>HYPERLINK("https://twitter.com/CidCastellano/status/1070969738854051840","1070969738854051840")</f>
        <v>1070969738854051840</v>
      </c>
      <c r="F1565" s="12" t="s">
        <v>732</v>
      </c>
      <c r="G1565" s="11"/>
      <c r="H1565" s="11"/>
      <c r="I1565" s="13">
        <v>1</v>
      </c>
      <c r="J1565" s="13">
        <v>1</v>
      </c>
      <c r="K1565" s="14" t="str">
        <f>HYPERLINK("http://twitter.com/download/android","Twitter for Android")</f>
        <v>Twitter for Android</v>
      </c>
      <c r="L1565" s="13">
        <v>66</v>
      </c>
      <c r="M1565" s="13">
        <v>163</v>
      </c>
      <c r="N1565" s="13">
        <v>1</v>
      </c>
      <c r="O1565" s="15"/>
      <c r="P1565" s="6">
        <v>43331.464432870373</v>
      </c>
      <c r="Q1565" s="18" t="s">
        <v>42</v>
      </c>
      <c r="R1565" s="19" t="s">
        <v>3143</v>
      </c>
      <c r="S1565" s="11"/>
      <c r="T1565" s="11"/>
      <c r="U1565" s="10" t="str">
        <f>HYPERLINK("https://pbs.twimg.com/profile_images/1031109012325064706/wnVOC56T.jpg","View")</f>
        <v>View</v>
      </c>
    </row>
    <row r="1566" spans="1:21" ht="30.6">
      <c r="A1566" s="6">
        <v>43441.424259259264</v>
      </c>
      <c r="B1566" s="7" t="str">
        <f>HYPERLINK("https://twitter.com/gaab75","@gaab75")</f>
        <v>@gaab75</v>
      </c>
      <c r="C1566" s="8" t="s">
        <v>4710</v>
      </c>
      <c r="D1566" s="9" t="s">
        <v>6234</v>
      </c>
      <c r="E1566" s="10" t="str">
        <f>HYPERLINK("https://twitter.com/gaab75/status/1070968895551479809","1070968895551479809")</f>
        <v>1070968895551479809</v>
      </c>
      <c r="F1566" s="11"/>
      <c r="G1566" s="11"/>
      <c r="H1566" s="11"/>
      <c r="I1566" s="13">
        <v>0</v>
      </c>
      <c r="J1566" s="13">
        <v>0</v>
      </c>
      <c r="K1566" s="14" t="str">
        <f t="shared" ref="K1566:K1567" si="271">HYPERLINK("http://twitter.com","Twitter Web Client")</f>
        <v>Twitter Web Client</v>
      </c>
      <c r="L1566" s="13">
        <v>3602</v>
      </c>
      <c r="M1566" s="13">
        <v>1550</v>
      </c>
      <c r="N1566" s="13">
        <v>98</v>
      </c>
      <c r="O1566" s="15"/>
      <c r="P1566" s="6">
        <v>40128.955196759256</v>
      </c>
      <c r="Q1566" s="18" t="s">
        <v>885</v>
      </c>
      <c r="R1566" s="19" t="s">
        <v>4712</v>
      </c>
      <c r="S1566" s="12" t="s">
        <v>4713</v>
      </c>
      <c r="T1566" s="11"/>
      <c r="U1566" s="10" t="str">
        <f>HYPERLINK("https://pbs.twimg.com/profile_images/958087622638948354/Nn7-v7sP.jpg","View")</f>
        <v>View</v>
      </c>
    </row>
    <row r="1567" spans="1:21" ht="51">
      <c r="A1567" s="6">
        <v>43441.424189814818</v>
      </c>
      <c r="B1567" s="7" t="str">
        <f>HYPERLINK("https://twitter.com/brubeaker","@brubeaker")</f>
        <v>@brubeaker</v>
      </c>
      <c r="C1567" s="8" t="s">
        <v>6235</v>
      </c>
      <c r="D1567" s="9" t="s">
        <v>6236</v>
      </c>
      <c r="E1567" s="10" t="str">
        <f>HYPERLINK("https://twitter.com/brubeaker/status/1070968868665987072","1070968868665987072")</f>
        <v>1070968868665987072</v>
      </c>
      <c r="F1567" s="11"/>
      <c r="G1567" s="11"/>
      <c r="H1567" s="11"/>
      <c r="I1567" s="13">
        <v>0</v>
      </c>
      <c r="J1567" s="13">
        <v>0</v>
      </c>
      <c r="K1567" s="14" t="str">
        <f t="shared" si="271"/>
        <v>Twitter Web Client</v>
      </c>
      <c r="L1567" s="13">
        <v>38</v>
      </c>
      <c r="M1567" s="13">
        <v>164</v>
      </c>
      <c r="N1567" s="13">
        <v>2</v>
      </c>
      <c r="O1567" s="15"/>
      <c r="P1567" s="6">
        <v>41780.336550925924</v>
      </c>
      <c r="Q1567" s="11"/>
      <c r="R1567" s="19" t="s">
        <v>6237</v>
      </c>
      <c r="S1567" s="11"/>
      <c r="T1567" s="11"/>
      <c r="U1567" s="10" t="str">
        <f>HYPERLINK("https://pbs.twimg.com/profile_images/1036025081179332608/VWYH9QdS.jpg","View")</f>
        <v>View</v>
      </c>
    </row>
    <row r="1568" spans="1:21" ht="30.6">
      <c r="A1568" s="6">
        <v>43441.423541666663</v>
      </c>
      <c r="B1568" s="7" t="str">
        <f>HYPERLINK("https://twitter.com/ENGINEER_28","@ENGINEER_28")</f>
        <v>@ENGINEER_28</v>
      </c>
      <c r="C1568" s="8" t="s">
        <v>6238</v>
      </c>
      <c r="D1568" s="9" t="s">
        <v>2160</v>
      </c>
      <c r="E1568" s="10" t="str">
        <f>HYPERLINK("https://twitter.com/ENGINEER_28/status/1070968635131351040","1070968635131351040")</f>
        <v>1070968635131351040</v>
      </c>
      <c r="F1568" s="12" t="s">
        <v>2161</v>
      </c>
      <c r="G1568" s="11"/>
      <c r="H1568" s="11"/>
      <c r="I1568" s="13">
        <v>164</v>
      </c>
      <c r="J1568" s="13">
        <v>277</v>
      </c>
      <c r="K1568" s="14" t="str">
        <f>HYPERLINK("http://twitter.com/#!/download/ipad","Twitter for iPad")</f>
        <v>Twitter for iPad</v>
      </c>
      <c r="L1568" s="13">
        <v>5859</v>
      </c>
      <c r="M1568" s="13">
        <v>2752</v>
      </c>
      <c r="N1568" s="13">
        <v>86</v>
      </c>
      <c r="O1568" s="15"/>
      <c r="P1568" s="6">
        <v>40271.588877314818</v>
      </c>
      <c r="Q1568" s="11"/>
      <c r="R1568" s="19" t="s">
        <v>6239</v>
      </c>
      <c r="S1568" s="11"/>
      <c r="T1568" s="11"/>
      <c r="U1568" s="10" t="str">
        <f>HYPERLINK("https://pbs.twimg.com/profile_images/1069171213396787201/PFW_igss.jpg","View")</f>
        <v>View</v>
      </c>
    </row>
    <row r="1569" spans="1:21" ht="51">
      <c r="A1569" s="6">
        <v>43441.423217592594</v>
      </c>
      <c r="B1569" s="7" t="str">
        <f>HYPERLINK("https://twitter.com/martinvr611","@martinvr611")</f>
        <v>@martinvr611</v>
      </c>
      <c r="C1569" s="8" t="s">
        <v>5470</v>
      </c>
      <c r="D1569" s="9" t="s">
        <v>6240</v>
      </c>
      <c r="E1569" s="10" t="str">
        <f>HYPERLINK("https://twitter.com/martinvr611/status/1070968515895681024","1070968515895681024")</f>
        <v>1070968515895681024</v>
      </c>
      <c r="F1569" s="11"/>
      <c r="G1569" s="11"/>
      <c r="H1569" s="11"/>
      <c r="I1569" s="13">
        <v>0</v>
      </c>
      <c r="J1569" s="13">
        <v>0</v>
      </c>
      <c r="K1569" s="14" t="str">
        <f>HYPERLINK("http://twitter.com/download/iphone","Twitter for iPhone")</f>
        <v>Twitter for iPhone</v>
      </c>
      <c r="L1569" s="13">
        <v>128</v>
      </c>
      <c r="M1569" s="13">
        <v>65</v>
      </c>
      <c r="N1569" s="13">
        <v>2</v>
      </c>
      <c r="O1569" s="15"/>
      <c r="P1569" s="6">
        <v>41949.802071759259</v>
      </c>
      <c r="Q1569" s="18" t="s">
        <v>42</v>
      </c>
      <c r="R1569" s="19" t="s">
        <v>5472</v>
      </c>
      <c r="S1569" s="11"/>
      <c r="T1569" s="11"/>
      <c r="U1569" s="10" t="str">
        <f>HYPERLINK("https://pbs.twimg.com/profile_images/1014497551079428097/WSlWhAXp.jpg","View")</f>
        <v>View</v>
      </c>
    </row>
    <row r="1570" spans="1:21" ht="30.6">
      <c r="A1570" s="6">
        <v>43441.423020833332</v>
      </c>
      <c r="B1570" s="7" t="str">
        <f>HYPERLINK("https://twitter.com/vayanata","@vayanata")</f>
        <v>@vayanata</v>
      </c>
      <c r="C1570" s="8" t="s">
        <v>6241</v>
      </c>
      <c r="D1570" s="9" t="s">
        <v>6242</v>
      </c>
      <c r="E1570" s="10" t="str">
        <f>HYPERLINK("https://twitter.com/vayanata/status/1070968442851942400","1070968442851942400")</f>
        <v>1070968442851942400</v>
      </c>
      <c r="F1570" s="11"/>
      <c r="G1570" s="11"/>
      <c r="H1570" s="11"/>
      <c r="I1570" s="13">
        <v>140</v>
      </c>
      <c r="J1570" s="13">
        <v>321</v>
      </c>
      <c r="K1570" s="14" t="str">
        <f>HYPERLINK("http://twitter.com/download/android","Twitter for Android")</f>
        <v>Twitter for Android</v>
      </c>
      <c r="L1570" s="13">
        <v>20091</v>
      </c>
      <c r="M1570" s="13">
        <v>6700</v>
      </c>
      <c r="N1570" s="13">
        <v>84</v>
      </c>
      <c r="O1570" s="15"/>
      <c r="P1570" s="6">
        <v>42259.72719907407</v>
      </c>
      <c r="Q1570" s="18" t="s">
        <v>885</v>
      </c>
      <c r="R1570" s="19" t="s">
        <v>6243</v>
      </c>
      <c r="S1570" s="11"/>
      <c r="T1570" s="11"/>
      <c r="U1570" s="10" t="str">
        <f>HYPERLINK("https://pbs.twimg.com/profile_images/659707542252199936/d_lRFlD3.jpg","View")</f>
        <v>View</v>
      </c>
    </row>
    <row r="1571" spans="1:21" ht="20.399999999999999">
      <c r="A1571" s="6">
        <v>43441.422800925924</v>
      </c>
      <c r="B1571" s="7" t="str">
        <f>HYPERLINK("https://twitter.com/Mariela41195656","@Mariela41195656")</f>
        <v>@Mariela41195656</v>
      </c>
      <c r="C1571" s="8" t="s">
        <v>6244</v>
      </c>
      <c r="D1571" s="9" t="s">
        <v>6245</v>
      </c>
      <c r="E1571" s="10" t="str">
        <f>HYPERLINK("https://twitter.com/Mariela41195656/status/1070968366448414720","1070968366448414720")</f>
        <v>1070968366448414720</v>
      </c>
      <c r="F1571" s="12" t="s">
        <v>6246</v>
      </c>
      <c r="G1571" s="11"/>
      <c r="H1571" s="11"/>
      <c r="I1571" s="13">
        <v>0</v>
      </c>
      <c r="J1571" s="13">
        <v>0</v>
      </c>
      <c r="K1571" s="14" t="str">
        <f>HYPERLINK("http://twitter.com/download/iphone","Twitter for iPhone")</f>
        <v>Twitter for iPhone</v>
      </c>
      <c r="L1571" s="13">
        <v>46</v>
      </c>
      <c r="M1571" s="13">
        <v>133</v>
      </c>
      <c r="N1571" s="13">
        <v>1</v>
      </c>
      <c r="O1571" s="15"/>
      <c r="P1571" s="6">
        <v>42381.290196759262</v>
      </c>
      <c r="Q1571" s="11"/>
      <c r="R1571" s="17"/>
      <c r="S1571" s="11"/>
      <c r="T1571" s="11"/>
      <c r="U1571" s="10" t="str">
        <f>HYPERLINK("https://pbs.twimg.com/profile_images/930038508286349312/RhhpRNoJ.jpg","View")</f>
        <v>View</v>
      </c>
    </row>
    <row r="1572" spans="1:21" ht="40.799999999999997">
      <c r="A1572" s="6">
        <v>43441.422754629632</v>
      </c>
      <c r="B1572" s="7" t="str">
        <f>HYPERLINK("https://twitter.com/caosemergente","@caosemergente")</f>
        <v>@caosemergente</v>
      </c>
      <c r="C1572" s="8" t="s">
        <v>6247</v>
      </c>
      <c r="D1572" s="9" t="s">
        <v>6248</v>
      </c>
      <c r="E1572" s="10" t="str">
        <f>HYPERLINK("https://twitter.com/caosemergente/status/1070968349667090432","1070968349667090432")</f>
        <v>1070968349667090432</v>
      </c>
      <c r="F1572" s="11"/>
      <c r="G1572" s="11"/>
      <c r="H1572" s="11"/>
      <c r="I1572" s="13">
        <v>1</v>
      </c>
      <c r="J1572" s="13">
        <v>2</v>
      </c>
      <c r="K1572" s="14" t="str">
        <f t="shared" ref="K1572:K1573" si="272">HYPERLINK("http://twitter.com/download/android","Twitter for Android")</f>
        <v>Twitter for Android</v>
      </c>
      <c r="L1572" s="13">
        <v>1491</v>
      </c>
      <c r="M1572" s="13">
        <v>3509</v>
      </c>
      <c r="N1572" s="13">
        <v>21</v>
      </c>
      <c r="O1572" s="15"/>
      <c r="P1572" s="6">
        <v>40683.99381944444</v>
      </c>
      <c r="Q1572" s="11"/>
      <c r="R1572" s="19" t="s">
        <v>6249</v>
      </c>
      <c r="S1572" s="12" t="s">
        <v>6250</v>
      </c>
      <c r="T1572" s="11"/>
      <c r="U1572" s="10" t="str">
        <f>HYPERLINK("https://pbs.twimg.com/profile_images/986326986460139522/IwNmQkuw.jpg","View")</f>
        <v>View</v>
      </c>
    </row>
    <row r="1573" spans="1:21" ht="40.799999999999997">
      <c r="A1573" s="6">
        <v>43441.422083333338</v>
      </c>
      <c r="B1573" s="7" t="str">
        <f>HYPERLINK("https://twitter.com/AntonioRNaranjo","@AntonioRNaranjo")</f>
        <v>@AntonioRNaranjo</v>
      </c>
      <c r="C1573" s="8" t="s">
        <v>6251</v>
      </c>
      <c r="D1573" s="9" t="s">
        <v>39</v>
      </c>
      <c r="E1573" s="10" t="str">
        <f>HYPERLINK("https://twitter.com/AntonioRNaranjo/status/1070968104270868480","1070968104270868480")</f>
        <v>1070968104270868480</v>
      </c>
      <c r="F1573" s="12" t="s">
        <v>40</v>
      </c>
      <c r="G1573" s="11"/>
      <c r="H1573" s="11"/>
      <c r="I1573" s="13">
        <v>259</v>
      </c>
      <c r="J1573" s="13">
        <v>516</v>
      </c>
      <c r="K1573" s="14" t="str">
        <f t="shared" si="272"/>
        <v>Twitter for Android</v>
      </c>
      <c r="L1573" s="13">
        <v>38776</v>
      </c>
      <c r="M1573" s="13">
        <v>999</v>
      </c>
      <c r="N1573" s="13">
        <v>727</v>
      </c>
      <c r="O1573" s="15"/>
      <c r="P1573" s="6">
        <v>40092.434618055559</v>
      </c>
      <c r="Q1573" s="18" t="s">
        <v>6252</v>
      </c>
      <c r="R1573" s="19" t="s">
        <v>6253</v>
      </c>
      <c r="S1573" s="12" t="s">
        <v>6254</v>
      </c>
      <c r="T1573" s="11"/>
      <c r="U1573" s="10" t="str">
        <f>HYPERLINK("https://pbs.twimg.com/profile_images/914332049061883906/nDDFYCio.jpg","View")</f>
        <v>View</v>
      </c>
    </row>
    <row r="1574" spans="1:21" ht="51">
      <c r="A1574" s="6">
        <v>43441.4215162037</v>
      </c>
      <c r="B1574" s="7" t="str">
        <f>HYPERLINK("https://twitter.com/JCRodriguezNava","@JCRodriguezNava")</f>
        <v>@JCRodriguezNava</v>
      </c>
      <c r="C1574" s="8" t="s">
        <v>3144</v>
      </c>
      <c r="D1574" s="9" t="s">
        <v>3145</v>
      </c>
      <c r="E1574" s="10" t="str">
        <f>HYPERLINK("https://twitter.com/JCRodriguezNava/status/1070967901300117505","1070967901300117505")</f>
        <v>1070967901300117505</v>
      </c>
      <c r="F1574" s="11"/>
      <c r="G1574" s="12" t="s">
        <v>3146</v>
      </c>
      <c r="H1574" s="11"/>
      <c r="I1574" s="13">
        <v>0</v>
      </c>
      <c r="J1574" s="13">
        <v>1</v>
      </c>
      <c r="K1574" s="14" t="str">
        <f>HYPERLINK("http://twitter.com","Twitter Web Client")</f>
        <v>Twitter Web Client</v>
      </c>
      <c r="L1574" s="13">
        <v>882</v>
      </c>
      <c r="M1574" s="13">
        <v>910</v>
      </c>
      <c r="N1574" s="13">
        <v>3</v>
      </c>
      <c r="O1574" s="15"/>
      <c r="P1574" s="6">
        <v>40991.854259259257</v>
      </c>
      <c r="Q1574" s="18" t="s">
        <v>3148</v>
      </c>
      <c r="R1574" s="19" t="s">
        <v>3149</v>
      </c>
      <c r="S1574" s="11"/>
      <c r="T1574" s="11"/>
      <c r="U1574" s="10" t="str">
        <f>HYPERLINK("https://pbs.twimg.com/profile_images/1034044578788200449/lpBioI0s.jpg","View")</f>
        <v>View</v>
      </c>
    </row>
    <row r="1575" spans="1:21" ht="20.399999999999999">
      <c r="A1575" s="6">
        <v>43441.421180555553</v>
      </c>
      <c r="B1575" s="7" t="str">
        <f>HYPERLINK("https://twitter.com/blade2626","@blade2626")</f>
        <v>@blade2626</v>
      </c>
      <c r="C1575" s="8" t="s">
        <v>6255</v>
      </c>
      <c r="D1575" s="9" t="s">
        <v>6256</v>
      </c>
      <c r="E1575" s="10" t="str">
        <f>HYPERLINK("https://twitter.com/blade2626/status/1070967779153625088","1070967779153625088")</f>
        <v>1070967779153625088</v>
      </c>
      <c r="F1575" s="12" t="s">
        <v>6257</v>
      </c>
      <c r="G1575" s="12" t="s">
        <v>6258</v>
      </c>
      <c r="H1575" s="11"/>
      <c r="I1575" s="13">
        <v>0</v>
      </c>
      <c r="J1575" s="13">
        <v>0</v>
      </c>
      <c r="K1575" s="14" t="str">
        <f>HYPERLINK("http://publicize.wp.com/","WordPress.com")</f>
        <v>WordPress.com</v>
      </c>
      <c r="L1575" s="13">
        <v>287</v>
      </c>
      <c r="M1575" s="13">
        <v>1543</v>
      </c>
      <c r="N1575" s="13">
        <v>5</v>
      </c>
      <c r="O1575" s="15"/>
      <c r="P1575" s="6">
        <v>40154.116608796292</v>
      </c>
      <c r="Q1575" s="18" t="s">
        <v>2311</v>
      </c>
      <c r="R1575" s="19" t="s">
        <v>6259</v>
      </c>
      <c r="S1575" s="12" t="s">
        <v>6260</v>
      </c>
      <c r="T1575" s="11"/>
      <c r="U1575" s="10" t="str">
        <f>HYPERLINK("https://pbs.twimg.com/profile_images/557549349924634625/YnzJdgo6.jpeg","View")</f>
        <v>View</v>
      </c>
    </row>
    <row r="1576" spans="1:21" ht="30.6">
      <c r="A1576" s="6">
        <v>43441.420231481483</v>
      </c>
      <c r="B1576" s="7" t="str">
        <f>HYPERLINK("https://twitter.com/Macaguendieh","@Macaguendieh")</f>
        <v>@Macaguendieh</v>
      </c>
      <c r="C1576" s="8" t="s">
        <v>6261</v>
      </c>
      <c r="D1576" s="9" t="s">
        <v>6262</v>
      </c>
      <c r="E1576" s="10" t="str">
        <f>HYPERLINK("https://twitter.com/Macaguendieh/status/1070967435728207872","1070967435728207872")</f>
        <v>1070967435728207872</v>
      </c>
      <c r="F1576" s="12" t="s">
        <v>6263</v>
      </c>
      <c r="G1576" s="11"/>
      <c r="H1576" s="11"/>
      <c r="I1576" s="13">
        <v>0</v>
      </c>
      <c r="J1576" s="13">
        <v>0</v>
      </c>
      <c r="K1576" s="14" t="str">
        <f t="shared" ref="K1576:K1577" si="273">HYPERLINK("http://twitter.com/download/android","Twitter for Android")</f>
        <v>Twitter for Android</v>
      </c>
      <c r="L1576" s="13">
        <v>420</v>
      </c>
      <c r="M1576" s="13">
        <v>1500</v>
      </c>
      <c r="N1576" s="13">
        <v>11</v>
      </c>
      <c r="O1576" s="15"/>
      <c r="P1576" s="6">
        <v>41924.42763888889</v>
      </c>
      <c r="Q1576" s="18" t="s">
        <v>4715</v>
      </c>
      <c r="R1576" s="19" t="s">
        <v>6264</v>
      </c>
      <c r="S1576" s="11"/>
      <c r="T1576" s="11"/>
      <c r="U1576" s="10" t="str">
        <f>HYPERLINK("https://pbs.twimg.com/profile_images/1054831256167477248/sYFZ71zA.jpg","View")</f>
        <v>View</v>
      </c>
    </row>
    <row r="1577" spans="1:21" ht="51">
      <c r="A1577" s="6">
        <v>43441.420208333337</v>
      </c>
      <c r="B1577" s="7" t="str">
        <f>HYPERLINK("https://twitter.com/itacasurf","@itacasurf")</f>
        <v>@itacasurf</v>
      </c>
      <c r="C1577" s="8" t="s">
        <v>789</v>
      </c>
      <c r="D1577" s="9" t="s">
        <v>6265</v>
      </c>
      <c r="E1577" s="10" t="str">
        <f>HYPERLINK("https://twitter.com/itacasurf/status/1070967427356332032","1070967427356332032")</f>
        <v>1070967427356332032</v>
      </c>
      <c r="F1577" s="11"/>
      <c r="G1577" s="11"/>
      <c r="H1577" s="11"/>
      <c r="I1577" s="13">
        <v>2</v>
      </c>
      <c r="J1577" s="13">
        <v>6</v>
      </c>
      <c r="K1577" s="14" t="str">
        <f t="shared" si="273"/>
        <v>Twitter for Android</v>
      </c>
      <c r="L1577" s="13">
        <v>87</v>
      </c>
      <c r="M1577" s="13">
        <v>222</v>
      </c>
      <c r="N1577" s="13">
        <v>13</v>
      </c>
      <c r="O1577" s="15"/>
      <c r="P1577" s="6">
        <v>41920.370312500003</v>
      </c>
      <c r="Q1577" s="11"/>
      <c r="R1577" s="17"/>
      <c r="S1577" s="11"/>
      <c r="T1577" s="11"/>
      <c r="U1577" s="10" t="str">
        <f>HYPERLINK("https://pbs.twimg.com/profile_images/577868780300292096/FxqxTBkf.jpeg","View")</f>
        <v>View</v>
      </c>
    </row>
    <row r="1578" spans="1:21" ht="40.799999999999997">
      <c r="A1578" s="6">
        <v>43441.419953703706</v>
      </c>
      <c r="B1578" s="7" t="str">
        <f>HYPERLINK("https://twitter.com/fdeaguilaramat","@fdeaguilaramat")</f>
        <v>@fdeaguilaramat</v>
      </c>
      <c r="C1578" s="8" t="s">
        <v>6266</v>
      </c>
      <c r="D1578" s="9" t="s">
        <v>6267</v>
      </c>
      <c r="E1578" s="10" t="str">
        <f>HYPERLINK("https://twitter.com/fdeaguilaramat/status/1070967332074336257","1070967332074336257")</f>
        <v>1070967332074336257</v>
      </c>
      <c r="F1578" s="12" t="s">
        <v>6268</v>
      </c>
      <c r="G1578" s="11"/>
      <c r="H1578" s="11"/>
      <c r="I1578" s="13">
        <v>0</v>
      </c>
      <c r="J1578" s="13">
        <v>1</v>
      </c>
      <c r="K1578" s="14" t="str">
        <f>HYPERLINK("http://twitter.com/download/iphone","Twitter for iPhone")</f>
        <v>Twitter for iPhone</v>
      </c>
      <c r="L1578" s="13">
        <v>3189</v>
      </c>
      <c r="M1578" s="13">
        <v>1162</v>
      </c>
      <c r="N1578" s="13">
        <v>37</v>
      </c>
      <c r="O1578" s="15"/>
      <c r="P1578" s="6">
        <v>41214.812476851854</v>
      </c>
      <c r="Q1578" s="18" t="s">
        <v>173</v>
      </c>
      <c r="R1578" s="19" t="s">
        <v>6269</v>
      </c>
      <c r="S1578" s="11"/>
      <c r="T1578" s="11"/>
      <c r="U1578" s="10" t="str">
        <f>HYPERLINK("https://pbs.twimg.com/profile_images/576887266427211776/OLxxKkLu.jpeg","View")</f>
        <v>View</v>
      </c>
    </row>
    <row r="1579" spans="1:21" ht="20.399999999999999">
      <c r="A1579" s="6">
        <v>43441.419745370367</v>
      </c>
      <c r="B1579" s="7" t="str">
        <f>HYPERLINK("https://twitter.com/blade2626","@blade2626")</f>
        <v>@blade2626</v>
      </c>
      <c r="C1579" s="8" t="s">
        <v>6255</v>
      </c>
      <c r="D1579" s="9" t="s">
        <v>6256</v>
      </c>
      <c r="E1579" s="10" t="str">
        <f>HYPERLINK("https://twitter.com/blade2626/status/1070967257868763137","1070967257868763137")</f>
        <v>1070967257868763137</v>
      </c>
      <c r="F1579" s="12" t="s">
        <v>6270</v>
      </c>
      <c r="G1579" s="12" t="s">
        <v>6271</v>
      </c>
      <c r="H1579" s="11"/>
      <c r="I1579" s="13">
        <v>0</v>
      </c>
      <c r="J1579" s="13">
        <v>0</v>
      </c>
      <c r="K1579" s="14" t="str">
        <f>HYPERLINK("http://publicize.wp.com/","WordPress.com")</f>
        <v>WordPress.com</v>
      </c>
      <c r="L1579" s="13">
        <v>287</v>
      </c>
      <c r="M1579" s="13">
        <v>1543</v>
      </c>
      <c r="N1579" s="13">
        <v>5</v>
      </c>
      <c r="O1579" s="15"/>
      <c r="P1579" s="6">
        <v>40154.116608796292</v>
      </c>
      <c r="Q1579" s="18" t="s">
        <v>2311</v>
      </c>
      <c r="R1579" s="19" t="s">
        <v>6259</v>
      </c>
      <c r="S1579" s="12" t="s">
        <v>6260</v>
      </c>
      <c r="T1579" s="11"/>
      <c r="U1579" s="10" t="str">
        <f>HYPERLINK("https://pbs.twimg.com/profile_images/557549349924634625/YnzJdgo6.jpeg","View")</f>
        <v>View</v>
      </c>
    </row>
    <row r="1580" spans="1:21" ht="51">
      <c r="A1580" s="6">
        <v>43441.419467592597</v>
      </c>
      <c r="B1580" s="7" t="str">
        <f>HYPERLINK("https://twitter.com/comandantevader","@comandantevader")</f>
        <v>@comandantevader</v>
      </c>
      <c r="C1580" s="8" t="s">
        <v>1388</v>
      </c>
      <c r="D1580" s="9" t="s">
        <v>6272</v>
      </c>
      <c r="E1580" s="10" t="str">
        <f>HYPERLINK("https://twitter.com/comandantevader/status/1070967158249848832","1070967158249848832")</f>
        <v>1070967158249848832</v>
      </c>
      <c r="F1580" s="11"/>
      <c r="G1580" s="11"/>
      <c r="H1580" s="11"/>
      <c r="I1580" s="13">
        <v>1</v>
      </c>
      <c r="J1580" s="13">
        <v>6</v>
      </c>
      <c r="K1580" s="14" t="str">
        <f>HYPERLINK("http://twitter.com/download/android","Twitter for Android")</f>
        <v>Twitter for Android</v>
      </c>
      <c r="L1580" s="13">
        <v>94</v>
      </c>
      <c r="M1580" s="13">
        <v>133</v>
      </c>
      <c r="N1580" s="13">
        <v>1</v>
      </c>
      <c r="O1580" s="15"/>
      <c r="P1580" s="6">
        <v>42984.396944444445</v>
      </c>
      <c r="Q1580" s="18" t="s">
        <v>41</v>
      </c>
      <c r="R1580" s="19" t="s">
        <v>1393</v>
      </c>
      <c r="S1580" s="11"/>
      <c r="T1580" s="11"/>
      <c r="U1580" s="10" t="str">
        <f>HYPERLINK("https://pbs.twimg.com/profile_images/905337007903305728/KzFTaGeZ.jpg","View")</f>
        <v>View</v>
      </c>
    </row>
    <row r="1581" spans="1:21" ht="30.6">
      <c r="A1581" s="6">
        <v>43441.419282407413</v>
      </c>
      <c r="B1581" s="7" t="str">
        <f>HYPERLINK("https://twitter.com/elsebaspuntonet","@elsebaspuntonet")</f>
        <v>@elsebaspuntonet</v>
      </c>
      <c r="C1581" s="8" t="s">
        <v>6273</v>
      </c>
      <c r="D1581" s="9" t="s">
        <v>6256</v>
      </c>
      <c r="E1581" s="10" t="str">
        <f>HYPERLINK("https://twitter.com/elsebaspuntonet/status/1070967091342307328","1070967091342307328")</f>
        <v>1070967091342307328</v>
      </c>
      <c r="F1581" s="12" t="s">
        <v>6274</v>
      </c>
      <c r="G1581" s="12" t="s">
        <v>6275</v>
      </c>
      <c r="H1581" s="11"/>
      <c r="I1581" s="13">
        <v>0</v>
      </c>
      <c r="J1581" s="13">
        <v>0</v>
      </c>
      <c r="K1581" s="14" t="str">
        <f t="shared" ref="K1581:K1582" si="274">HYPERLINK("http://publicize.wp.com/","WordPress.com")</f>
        <v>WordPress.com</v>
      </c>
      <c r="L1581" s="13">
        <v>17</v>
      </c>
      <c r="M1581" s="13">
        <v>37</v>
      </c>
      <c r="N1581" s="13">
        <v>1</v>
      </c>
      <c r="O1581" s="15"/>
      <c r="P1581" s="6">
        <v>41579.604548611111</v>
      </c>
      <c r="Q1581" s="18" t="s">
        <v>1325</v>
      </c>
      <c r="R1581" s="19" t="s">
        <v>6276</v>
      </c>
      <c r="S1581" s="12" t="s">
        <v>6260</v>
      </c>
      <c r="T1581" s="11"/>
      <c r="U1581" s="10" t="str">
        <f>HYPERLINK("https://pbs.twimg.com/profile_images/378800000678163293/641d8802c376738458cd92f5c9ec4bc0.jpeg","View")</f>
        <v>View</v>
      </c>
    </row>
    <row r="1582" spans="1:21" ht="20.399999999999999">
      <c r="A1582" s="6">
        <v>43441.419247685189</v>
      </c>
      <c r="B1582" s="7" t="str">
        <f>HYPERLINK("https://twitter.com/blade2626","@blade2626")</f>
        <v>@blade2626</v>
      </c>
      <c r="C1582" s="8" t="s">
        <v>6255</v>
      </c>
      <c r="D1582" s="9" t="s">
        <v>6256</v>
      </c>
      <c r="E1582" s="10" t="str">
        <f>HYPERLINK("https://twitter.com/blade2626/status/1070967076444143616","1070967076444143616")</f>
        <v>1070967076444143616</v>
      </c>
      <c r="F1582" s="12" t="s">
        <v>6274</v>
      </c>
      <c r="G1582" s="12" t="s">
        <v>6277</v>
      </c>
      <c r="H1582" s="11"/>
      <c r="I1582" s="13">
        <v>0</v>
      </c>
      <c r="J1582" s="13">
        <v>0</v>
      </c>
      <c r="K1582" s="14" t="str">
        <f t="shared" si="274"/>
        <v>WordPress.com</v>
      </c>
      <c r="L1582" s="13">
        <v>287</v>
      </c>
      <c r="M1582" s="13">
        <v>1543</v>
      </c>
      <c r="N1582" s="13">
        <v>5</v>
      </c>
      <c r="O1582" s="15"/>
      <c r="P1582" s="6">
        <v>40154.116608796292</v>
      </c>
      <c r="Q1582" s="18" t="s">
        <v>2311</v>
      </c>
      <c r="R1582" s="19" t="s">
        <v>6259</v>
      </c>
      <c r="S1582" s="12" t="s">
        <v>6260</v>
      </c>
      <c r="T1582" s="11"/>
      <c r="U1582" s="10" t="str">
        <f>HYPERLINK("https://pbs.twimg.com/profile_images/557549349924634625/YnzJdgo6.jpeg","View")</f>
        <v>View</v>
      </c>
    </row>
    <row r="1583" spans="1:21" ht="51">
      <c r="A1583" s="6">
        <v>43441.419085648144</v>
      </c>
      <c r="B1583" s="7" t="str">
        <f>HYPERLINK("https://twitter.com/Samuel79748299","@Samuel79748299")</f>
        <v>@Samuel79748299</v>
      </c>
      <c r="C1583" s="8" t="s">
        <v>3150</v>
      </c>
      <c r="D1583" s="9" t="s">
        <v>3151</v>
      </c>
      <c r="E1583" s="10" t="str">
        <f>HYPERLINK("https://twitter.com/Samuel79748299/status/1070967016973103104","1070967016973103104")</f>
        <v>1070967016973103104</v>
      </c>
      <c r="F1583" s="11"/>
      <c r="G1583" s="11"/>
      <c r="H1583" s="11"/>
      <c r="I1583" s="13">
        <v>0</v>
      </c>
      <c r="J1583" s="13">
        <v>1</v>
      </c>
      <c r="K1583" s="14" t="str">
        <f>HYPERLINK("http://twitter.com/download/android","Twitter for Android")</f>
        <v>Twitter for Android</v>
      </c>
      <c r="L1583" s="13">
        <v>1</v>
      </c>
      <c r="M1583" s="13">
        <v>13</v>
      </c>
      <c r="N1583" s="13">
        <v>0</v>
      </c>
      <c r="O1583" s="15"/>
      <c r="P1583" s="6">
        <v>43357.467939814815</v>
      </c>
      <c r="Q1583" s="11"/>
      <c r="R1583" s="17"/>
      <c r="S1583" s="11"/>
      <c r="T1583" s="11"/>
      <c r="U1583" s="16" t="s">
        <v>191</v>
      </c>
    </row>
    <row r="1584" spans="1:21" ht="40.799999999999997">
      <c r="A1584" s="6">
        <v>43441.41815972222</v>
      </c>
      <c r="B1584" s="7" t="str">
        <f>HYPERLINK("https://twitter.com/blade2626","@blade2626")</f>
        <v>@blade2626</v>
      </c>
      <c r="C1584" s="8" t="s">
        <v>6255</v>
      </c>
      <c r="D1584" s="9" t="s">
        <v>6278</v>
      </c>
      <c r="E1584" s="10" t="str">
        <f>HYPERLINK("https://twitter.com/blade2626/status/1070966683655946240","1070966683655946240")</f>
        <v>1070966683655946240</v>
      </c>
      <c r="F1584" s="12" t="s">
        <v>6274</v>
      </c>
      <c r="G1584" s="12" t="s">
        <v>6279</v>
      </c>
      <c r="H1584" s="11"/>
      <c r="I1584" s="13">
        <v>0</v>
      </c>
      <c r="J1584" s="13">
        <v>0</v>
      </c>
      <c r="K1584" s="14" t="str">
        <f>HYPERLINK("https://www.elsebas.net/","Desatascos Barcelona")</f>
        <v>Desatascos Barcelona</v>
      </c>
      <c r="L1584" s="13">
        <v>287</v>
      </c>
      <c r="M1584" s="13">
        <v>1543</v>
      </c>
      <c r="N1584" s="13">
        <v>5</v>
      </c>
      <c r="O1584" s="15"/>
      <c r="P1584" s="6">
        <v>40154.116608796292</v>
      </c>
      <c r="Q1584" s="18" t="s">
        <v>2311</v>
      </c>
      <c r="R1584" s="19" t="s">
        <v>6259</v>
      </c>
      <c r="S1584" s="12" t="s">
        <v>6260</v>
      </c>
      <c r="T1584" s="11"/>
      <c r="U1584" s="10" t="str">
        <f>HYPERLINK("https://pbs.twimg.com/profile_images/557549349924634625/YnzJdgo6.jpeg","View")</f>
        <v>View</v>
      </c>
    </row>
    <row r="1585" spans="1:21" ht="30.6">
      <c r="A1585" s="6">
        <v>43441.41788194445</v>
      </c>
      <c r="B1585" s="7" t="str">
        <f>HYPERLINK("https://twitter.com/crujjido","@crujjido")</f>
        <v>@crujjido</v>
      </c>
      <c r="C1585" s="8" t="s">
        <v>6280</v>
      </c>
      <c r="D1585" s="9" t="s">
        <v>6281</v>
      </c>
      <c r="E1585" s="10" t="str">
        <f>HYPERLINK("https://twitter.com/crujjido/status/1070966582082461696","1070966582082461696")</f>
        <v>1070966582082461696</v>
      </c>
      <c r="F1585" s="11"/>
      <c r="G1585" s="11"/>
      <c r="H1585" s="11"/>
      <c r="I1585" s="13">
        <v>0</v>
      </c>
      <c r="J1585" s="13">
        <v>0</v>
      </c>
      <c r="K1585" s="14" t="str">
        <f>HYPERLINK("http://twitter.com/download/android","Twitter for Android")</f>
        <v>Twitter for Android</v>
      </c>
      <c r="L1585" s="13">
        <v>198</v>
      </c>
      <c r="M1585" s="13">
        <v>92</v>
      </c>
      <c r="N1585" s="13">
        <v>2</v>
      </c>
      <c r="O1585" s="15"/>
      <c r="P1585" s="6">
        <v>43284.525624999995</v>
      </c>
      <c r="Q1585" s="18" t="s">
        <v>1578</v>
      </c>
      <c r="R1585" s="17"/>
      <c r="S1585" s="11"/>
      <c r="T1585" s="11"/>
      <c r="U1585" s="10" t="str">
        <f>HYPERLINK("https://pbs.twimg.com/profile_images/1068890113592238082/Q3CR4Bro.jpg","View")</f>
        <v>View</v>
      </c>
    </row>
    <row r="1586" spans="1:21" ht="30.6">
      <c r="A1586" s="6">
        <v>43441.41788194445</v>
      </c>
      <c r="B1586" s="7" t="str">
        <f>HYPERLINK("https://twitter.com/Supportapple3","@Supportapple3")</f>
        <v>@Supportapple3</v>
      </c>
      <c r="C1586" s="8" t="s">
        <v>6282</v>
      </c>
      <c r="D1586" s="9" t="s">
        <v>3651</v>
      </c>
      <c r="E1586" s="10" t="str">
        <f>HYPERLINK("https://twitter.com/Supportapple3/status/1070966581646278657","1070966581646278657")</f>
        <v>1070966581646278657</v>
      </c>
      <c r="F1586" s="12" t="s">
        <v>2161</v>
      </c>
      <c r="G1586" s="11"/>
      <c r="H1586" s="11"/>
      <c r="I1586" s="13">
        <v>32</v>
      </c>
      <c r="J1586" s="13">
        <v>40</v>
      </c>
      <c r="K1586" s="14" t="str">
        <f>HYPERLINK("http://twitter.com/download/iphone","Twitter for iPhone")</f>
        <v>Twitter for iPhone</v>
      </c>
      <c r="L1586" s="13">
        <v>1372</v>
      </c>
      <c r="M1586" s="13">
        <v>1756</v>
      </c>
      <c r="N1586" s="13">
        <v>1</v>
      </c>
      <c r="O1586" s="15"/>
      <c r="P1586" s="6">
        <v>43378.497986111106</v>
      </c>
      <c r="Q1586" s="18" t="s">
        <v>6283</v>
      </c>
      <c r="R1586" s="19" t="s">
        <v>6284</v>
      </c>
      <c r="S1586" s="12" t="s">
        <v>6285</v>
      </c>
      <c r="T1586" s="11"/>
      <c r="U1586" s="10" t="str">
        <f>HYPERLINK("https://pbs.twimg.com/profile_images/1053036687641722882/aoOqp9sw.jpg","View")</f>
        <v>View</v>
      </c>
    </row>
    <row r="1587" spans="1:21" ht="40.799999999999997">
      <c r="A1587" s="6">
        <v>43441.41777777778</v>
      </c>
      <c r="B1587" s="7" t="str">
        <f>HYPERLINK("https://twitter.com/ElenaSevillano_","@ElenaSevillano_")</f>
        <v>@ElenaSevillano_</v>
      </c>
      <c r="C1587" s="8" t="s">
        <v>3155</v>
      </c>
      <c r="D1587" s="9" t="s">
        <v>3156</v>
      </c>
      <c r="E1587" s="10" t="str">
        <f>HYPERLINK("https://twitter.com/ElenaSevillano_/status/1070966544681889793","1070966544681889793")</f>
        <v>1070966544681889793</v>
      </c>
      <c r="F1587" s="11"/>
      <c r="G1587" s="12" t="s">
        <v>3158</v>
      </c>
      <c r="H1587" s="11"/>
      <c r="I1587" s="13">
        <v>56</v>
      </c>
      <c r="J1587" s="13">
        <v>51</v>
      </c>
      <c r="K1587" s="14" t="str">
        <f>HYPERLINK("http://twitter.com","Twitter Web Client")</f>
        <v>Twitter Web Client</v>
      </c>
      <c r="L1587" s="13">
        <v>4242</v>
      </c>
      <c r="M1587" s="13">
        <v>1868</v>
      </c>
      <c r="N1587" s="13">
        <v>63</v>
      </c>
      <c r="O1587" s="16" t="s">
        <v>25</v>
      </c>
      <c r="P1587" s="6">
        <v>41212.94027777778</v>
      </c>
      <c r="Q1587" s="18" t="s">
        <v>26</v>
      </c>
      <c r="R1587" s="19" t="s">
        <v>3159</v>
      </c>
      <c r="S1587" s="11"/>
      <c r="T1587" s="11"/>
      <c r="U1587" s="10" t="str">
        <f>HYPERLINK("https://pbs.twimg.com/profile_images/996857340149321731/plzJapbS.jpg","View")</f>
        <v>View</v>
      </c>
    </row>
    <row r="1588" spans="1:21" ht="20.399999999999999">
      <c r="A1588" s="6">
        <v>43441.417395833334</v>
      </c>
      <c r="B1588" s="7" t="str">
        <f>HYPERLINK("https://twitter.com/PodemosParla2Tw","@PodemosParla2Tw")</f>
        <v>@PodemosParla2Tw</v>
      </c>
      <c r="C1588" s="8" t="s">
        <v>1992</v>
      </c>
      <c r="D1588" s="9" t="s">
        <v>3160</v>
      </c>
      <c r="E1588" s="10" t="str">
        <f>HYPERLINK("https://twitter.com/PodemosParla2Tw/status/1070966404722110464","1070966404722110464")</f>
        <v>1070966404722110464</v>
      </c>
      <c r="F1588" s="11"/>
      <c r="G1588" s="12" t="s">
        <v>3161</v>
      </c>
      <c r="H1588" s="11"/>
      <c r="I1588" s="13">
        <v>0</v>
      </c>
      <c r="J1588" s="13">
        <v>1</v>
      </c>
      <c r="K1588" s="14" t="str">
        <f>HYPERLINK("https://buffer.com","Buffer")</f>
        <v>Buffer</v>
      </c>
      <c r="L1588" s="13">
        <v>877</v>
      </c>
      <c r="M1588" s="13">
        <v>1076</v>
      </c>
      <c r="N1588" s="13">
        <v>12</v>
      </c>
      <c r="O1588" s="15"/>
      <c r="P1588" s="6">
        <v>42311.893020833333</v>
      </c>
      <c r="Q1588" s="18" t="s">
        <v>1995</v>
      </c>
      <c r="R1588" s="19" t="s">
        <v>1996</v>
      </c>
      <c r="S1588" s="12" t="s">
        <v>1997</v>
      </c>
      <c r="T1588" s="11"/>
      <c r="U1588" s="10" t="str">
        <f>HYPERLINK("https://pbs.twimg.com/profile_images/1012456597115850752/7fJqeRBF.jpg","View")</f>
        <v>View</v>
      </c>
    </row>
    <row r="1589" spans="1:21" ht="30.6">
      <c r="A1589" s="6">
        <v>43441.417164351849</v>
      </c>
      <c r="B1589" s="7" t="str">
        <f>HYPERLINK("https://twitter.com/evagimcot","@evagimcot")</f>
        <v>@evagimcot</v>
      </c>
      <c r="C1589" s="8" t="s">
        <v>6286</v>
      </c>
      <c r="D1589" s="9" t="s">
        <v>6287</v>
      </c>
      <c r="E1589" s="10" t="str">
        <f>HYPERLINK("https://twitter.com/evagimcot/status/1070966322941566976","1070966322941566976")</f>
        <v>1070966322941566976</v>
      </c>
      <c r="F1589" s="12" t="s">
        <v>6288</v>
      </c>
      <c r="G1589" s="11"/>
      <c r="H1589" s="11"/>
      <c r="I1589" s="13">
        <v>0</v>
      </c>
      <c r="J1589" s="13">
        <v>0</v>
      </c>
      <c r="K1589" s="14" t="str">
        <f>HYPERLINK("http://twitter.com/download/iphone","Twitter for iPhone")</f>
        <v>Twitter for iPhone</v>
      </c>
      <c r="L1589" s="13">
        <v>70</v>
      </c>
      <c r="M1589" s="13">
        <v>79</v>
      </c>
      <c r="N1589" s="13">
        <v>1</v>
      </c>
      <c r="O1589" s="15"/>
      <c r="P1589" s="6">
        <v>42132.928310185191</v>
      </c>
      <c r="Q1589" s="18" t="s">
        <v>6289</v>
      </c>
      <c r="R1589" s="19" t="s">
        <v>6290</v>
      </c>
      <c r="S1589" s="11"/>
      <c r="T1589" s="11"/>
      <c r="U1589" s="10" t="str">
        <f>HYPERLINK("https://pbs.twimg.com/profile_images/647720627743404032/MBGlCPyR.jpg","View")</f>
        <v>View</v>
      </c>
    </row>
    <row r="1590" spans="1:21" ht="91.8">
      <c r="A1590" s="6">
        <v>43441.415104166663</v>
      </c>
      <c r="B1590" s="7" t="str">
        <f>HYPERLINK("https://twitter.com/j_breda_gisbert","@j_breda_gisbert")</f>
        <v>@j_breda_gisbert</v>
      </c>
      <c r="C1590" s="8" t="s">
        <v>6291</v>
      </c>
      <c r="D1590" s="21" t="s">
        <v>6292</v>
      </c>
      <c r="E1590" s="10" t="str">
        <f>HYPERLINK("https://twitter.com/j_breda_gisbert/status/1070965573872431104","1070965573872431104")</f>
        <v>1070965573872431104</v>
      </c>
      <c r="F1590" s="18" t="s">
        <v>6293</v>
      </c>
      <c r="G1590" s="11"/>
      <c r="H1590" s="11"/>
      <c r="I1590" s="13">
        <v>0</v>
      </c>
      <c r="J1590" s="13">
        <v>0</v>
      </c>
      <c r="K1590" s="14" t="str">
        <f>HYPERLINK("http://twitter.com/download/android","Twitter for Android")</f>
        <v>Twitter for Android</v>
      </c>
      <c r="L1590" s="13">
        <v>308</v>
      </c>
      <c r="M1590" s="13">
        <v>265</v>
      </c>
      <c r="N1590" s="13">
        <v>0</v>
      </c>
      <c r="O1590" s="15"/>
      <c r="P1590" s="6">
        <v>40697.997835648144</v>
      </c>
      <c r="Q1590" s="18" t="s">
        <v>671</v>
      </c>
      <c r="R1590" s="17"/>
      <c r="S1590" s="11"/>
      <c r="T1590" s="11"/>
      <c r="U1590" s="10" t="str">
        <f>HYPERLINK("https://pbs.twimg.com/profile_images/804080367204519947/03dV0p6Z.jpg","View")</f>
        <v>View</v>
      </c>
    </row>
    <row r="1591" spans="1:21" ht="81.599999999999994">
      <c r="A1591" s="6">
        <v>43441.4143287037</v>
      </c>
      <c r="B1591" s="7" t="str">
        <f>HYPERLINK("https://twitter.com/fitzgeraljazz","@fitzgeraljazz")</f>
        <v>@fitzgeraljazz</v>
      </c>
      <c r="C1591" s="8" t="s">
        <v>6294</v>
      </c>
      <c r="D1591" s="9" t="s">
        <v>6295</v>
      </c>
      <c r="E1591" s="10" t="str">
        <f>HYPERLINK("https://twitter.com/fitzgeraljazz/status/1070965296180142080","1070965296180142080")</f>
        <v>1070965296180142080</v>
      </c>
      <c r="F1591" s="12" t="s">
        <v>2975</v>
      </c>
      <c r="G1591" s="12" t="s">
        <v>499</v>
      </c>
      <c r="H1591" s="11"/>
      <c r="I1591" s="13">
        <v>0</v>
      </c>
      <c r="J1591" s="13">
        <v>1</v>
      </c>
      <c r="K1591" s="14" t="str">
        <f t="shared" ref="K1591:K1592" si="275">HYPERLINK("http://twitter.com","Twitter Web Client")</f>
        <v>Twitter Web Client</v>
      </c>
      <c r="L1591" s="13">
        <v>26</v>
      </c>
      <c r="M1591" s="13">
        <v>142</v>
      </c>
      <c r="N1591" s="13">
        <v>0</v>
      </c>
      <c r="O1591" s="15"/>
      <c r="P1591" s="6">
        <v>43013.456157407403</v>
      </c>
      <c r="Q1591" s="11"/>
      <c r="R1591" s="19" t="s">
        <v>6296</v>
      </c>
      <c r="S1591" s="11"/>
      <c r="T1591" s="11"/>
      <c r="U1591" s="16" t="s">
        <v>191</v>
      </c>
    </row>
    <row r="1592" spans="1:21" ht="40.799999999999997">
      <c r="A1592" s="6">
        <v>43441.413715277777</v>
      </c>
      <c r="B1592" s="7" t="str">
        <f>HYPERLINK("https://twitter.com/elmundobaleares","@elmundobaleares")</f>
        <v>@elmundobaleares</v>
      </c>
      <c r="C1592" s="8" t="s">
        <v>2105</v>
      </c>
      <c r="D1592" s="9" t="s">
        <v>6297</v>
      </c>
      <c r="E1592" s="10" t="str">
        <f>HYPERLINK("https://twitter.com/elmundobaleares/status/1070965074360197120","1070965074360197120")</f>
        <v>1070965074360197120</v>
      </c>
      <c r="F1592" s="12" t="s">
        <v>166</v>
      </c>
      <c r="G1592" s="11"/>
      <c r="H1592" s="11"/>
      <c r="I1592" s="13">
        <v>6</v>
      </c>
      <c r="J1592" s="13">
        <v>11</v>
      </c>
      <c r="K1592" s="14" t="str">
        <f t="shared" si="275"/>
        <v>Twitter Web Client</v>
      </c>
      <c r="L1592" s="13">
        <v>15775</v>
      </c>
      <c r="M1592" s="13">
        <v>80</v>
      </c>
      <c r="N1592" s="13">
        <v>323</v>
      </c>
      <c r="O1592" s="15"/>
      <c r="P1592" s="6">
        <v>40203.563831018517</v>
      </c>
      <c r="Q1592" s="18" t="s">
        <v>2110</v>
      </c>
      <c r="R1592" s="19" t="s">
        <v>2112</v>
      </c>
      <c r="S1592" s="12" t="s">
        <v>2113</v>
      </c>
      <c r="T1592" s="11"/>
      <c r="U1592" s="10" t="str">
        <f>HYPERLINK("https://pbs.twimg.com/profile_images/753924201006891008/hy0o7YAj.jpg","View")</f>
        <v>View</v>
      </c>
    </row>
    <row r="1593" spans="1:21" ht="81.599999999999994">
      <c r="A1593" s="6">
        <v>43441.413680555561</v>
      </c>
      <c r="B1593" s="7" t="str">
        <f>HYPERLINK("https://twitter.com/OEquidad","@OEquidad")</f>
        <v>@OEquidad</v>
      </c>
      <c r="C1593" s="8" t="s">
        <v>2309</v>
      </c>
      <c r="D1593" s="9" t="s">
        <v>3166</v>
      </c>
      <c r="E1593" s="10" t="str">
        <f>HYPERLINK("https://twitter.com/OEquidad/status/1070965059210371077","1070965059210371077")</f>
        <v>1070965059210371077</v>
      </c>
      <c r="F1593" s="12" t="s">
        <v>2499</v>
      </c>
      <c r="G1593" s="12" t="s">
        <v>2500</v>
      </c>
      <c r="H1593" s="11"/>
      <c r="I1593" s="13">
        <v>0</v>
      </c>
      <c r="J1593" s="13">
        <v>0</v>
      </c>
      <c r="K1593" s="14" t="str">
        <f>HYPERLINK("http://twitter.com/download/iphone","Twitter for iPhone")</f>
        <v>Twitter for iPhone</v>
      </c>
      <c r="L1593" s="13">
        <v>148</v>
      </c>
      <c r="M1593" s="13">
        <v>701</v>
      </c>
      <c r="N1593" s="13">
        <v>0</v>
      </c>
      <c r="O1593" s="15"/>
      <c r="P1593" s="6">
        <v>43329.579606481479</v>
      </c>
      <c r="Q1593" s="18" t="s">
        <v>41</v>
      </c>
      <c r="R1593" s="19" t="s">
        <v>2315</v>
      </c>
      <c r="S1593" s="11"/>
      <c r="T1593" s="11"/>
      <c r="U1593" s="10" t="str">
        <f>HYPERLINK("https://pbs.twimg.com/profile_images/1030476800353337345/uFi5OkNW.jpg","View")</f>
        <v>View</v>
      </c>
    </row>
    <row r="1594" spans="1:21" ht="91.8">
      <c r="A1594" s="6">
        <v>43441.413634259261</v>
      </c>
      <c r="B1594" s="7" t="str">
        <f>HYPERLINK("https://twitter.com/luisllzz","@luisllzz")</f>
        <v>@luisllzz</v>
      </c>
      <c r="C1594" s="8" t="s">
        <v>6298</v>
      </c>
      <c r="D1594" s="9" t="s">
        <v>6299</v>
      </c>
      <c r="E1594" s="10" t="str">
        <f>HYPERLINK("https://twitter.com/luisllzz/status/1070965042995179520","1070965042995179520")</f>
        <v>1070965042995179520</v>
      </c>
      <c r="F1594" s="18" t="s">
        <v>4674</v>
      </c>
      <c r="G1594" s="11"/>
      <c r="H1594" s="11"/>
      <c r="I1594" s="13">
        <v>0</v>
      </c>
      <c r="J1594" s="13">
        <v>0</v>
      </c>
      <c r="K1594" s="14" t="str">
        <f>HYPERLINK("http://twitter.com/download/android","Twitter for Android")</f>
        <v>Twitter for Android</v>
      </c>
      <c r="L1594" s="13">
        <v>413</v>
      </c>
      <c r="M1594" s="13">
        <v>453</v>
      </c>
      <c r="N1594" s="13">
        <v>0</v>
      </c>
      <c r="O1594" s="15"/>
      <c r="P1594" s="6">
        <v>42681.407650462963</v>
      </c>
      <c r="Q1594" s="18" t="s">
        <v>42</v>
      </c>
      <c r="R1594" s="19" t="s">
        <v>6300</v>
      </c>
      <c r="S1594" s="11"/>
      <c r="T1594" s="11"/>
      <c r="U1594" s="10" t="str">
        <f>HYPERLINK("https://pbs.twimg.com/profile_images/1001772071024721920/NpV230z9.jpg","View")</f>
        <v>View</v>
      </c>
    </row>
    <row r="1595" spans="1:21" ht="71.400000000000006">
      <c r="A1595" s="6">
        <v>43441.413414351853</v>
      </c>
      <c r="B1595" s="7" t="str">
        <f>HYPERLINK("https://twitter.com/ALVARO_HerRom","@ALVARO_HerRom")</f>
        <v>@ALVARO_HerRom</v>
      </c>
      <c r="C1595" s="8" t="s">
        <v>6301</v>
      </c>
      <c r="D1595" s="9" t="s">
        <v>6302</v>
      </c>
      <c r="E1595" s="10" t="str">
        <f>HYPERLINK("https://twitter.com/ALVARO_HerRom/status/1070964962955280384","1070964962955280384")</f>
        <v>1070964962955280384</v>
      </c>
      <c r="F1595" s="12" t="s">
        <v>2975</v>
      </c>
      <c r="G1595" s="12" t="s">
        <v>499</v>
      </c>
      <c r="H1595" s="11"/>
      <c r="I1595" s="13">
        <v>1</v>
      </c>
      <c r="J1595" s="13">
        <v>0</v>
      </c>
      <c r="K1595" s="14" t="str">
        <f>HYPERLINK("http://twitter.com/download/iphone","Twitter for iPhone")</f>
        <v>Twitter for iPhone</v>
      </c>
      <c r="L1595" s="13">
        <v>362</v>
      </c>
      <c r="M1595" s="13">
        <v>625</v>
      </c>
      <c r="N1595" s="13">
        <v>1</v>
      </c>
      <c r="O1595" s="15"/>
      <c r="P1595" s="6">
        <v>40428.011574074073</v>
      </c>
      <c r="Q1595" s="18" t="s">
        <v>3326</v>
      </c>
      <c r="R1595" s="19" t="s">
        <v>6303</v>
      </c>
      <c r="S1595" s="11"/>
      <c r="T1595" s="11"/>
      <c r="U1595" s="10" t="str">
        <f>HYPERLINK("https://pbs.twimg.com/profile_images/1059428351939657729/sD7PpeKK.jpg","View")</f>
        <v>View</v>
      </c>
    </row>
    <row r="1596" spans="1:21" ht="20.399999999999999">
      <c r="A1596" s="6">
        <v>43441.412685185191</v>
      </c>
      <c r="B1596" s="7" t="str">
        <f>HYPERLINK("https://twitter.com/cangrejosciegos","@cangrejosciegos")</f>
        <v>@cangrejosciegos</v>
      </c>
      <c r="C1596" s="8" t="s">
        <v>6304</v>
      </c>
      <c r="D1596" s="9" t="s">
        <v>6305</v>
      </c>
      <c r="E1596" s="10" t="str">
        <f>HYPERLINK("https://twitter.com/cangrejosciegos/status/1070964698621861888","1070964698621861888")</f>
        <v>1070964698621861888</v>
      </c>
      <c r="F1596" s="11"/>
      <c r="G1596" s="11"/>
      <c r="H1596" s="11"/>
      <c r="I1596" s="13">
        <v>0</v>
      </c>
      <c r="J1596" s="13">
        <v>2</v>
      </c>
      <c r="K1596" s="14" t="str">
        <f>HYPERLINK("http://twitter.com/#!/download/ipad","Twitter for iPad")</f>
        <v>Twitter for iPad</v>
      </c>
      <c r="L1596" s="13">
        <v>2363</v>
      </c>
      <c r="M1596" s="13">
        <v>187</v>
      </c>
      <c r="N1596" s="13">
        <v>30</v>
      </c>
      <c r="O1596" s="15"/>
      <c r="P1596" s="6">
        <v>41563.912662037037</v>
      </c>
      <c r="Q1596" s="11"/>
      <c r="R1596" s="19" t="s">
        <v>6306</v>
      </c>
      <c r="S1596" s="12" t="s">
        <v>6307</v>
      </c>
      <c r="T1596" s="11"/>
      <c r="U1596" s="10" t="str">
        <f>HYPERLINK("https://pbs.twimg.com/profile_images/1071011062277988353/3_kfhJhM.jpg","View")</f>
        <v>View</v>
      </c>
    </row>
    <row r="1597" spans="1:21" ht="13.2">
      <c r="A1597" s="6">
        <v>43441.412245370375</v>
      </c>
      <c r="B1597" s="7" t="str">
        <f>HYPERLINK("https://twitter.com/AgustiPeiro","@AgustiPeiro")</f>
        <v>@AgustiPeiro</v>
      </c>
      <c r="C1597" s="8" t="s">
        <v>6308</v>
      </c>
      <c r="D1597" s="9" t="s">
        <v>6309</v>
      </c>
      <c r="E1597" s="10" t="str">
        <f>HYPERLINK("https://twitter.com/AgustiPeiro/status/1070964541222215681","1070964541222215681")</f>
        <v>1070964541222215681</v>
      </c>
      <c r="F1597" s="11"/>
      <c r="G1597" s="11"/>
      <c r="H1597" s="11"/>
      <c r="I1597" s="13">
        <v>0</v>
      </c>
      <c r="J1597" s="13">
        <v>0</v>
      </c>
      <c r="K1597" s="14" t="str">
        <f t="shared" ref="K1597:K1598" si="276">HYPERLINK("http://twitter.com","Twitter Web Client")</f>
        <v>Twitter Web Client</v>
      </c>
      <c r="L1597" s="13">
        <v>505</v>
      </c>
      <c r="M1597" s="13">
        <v>843</v>
      </c>
      <c r="N1597" s="13">
        <v>6</v>
      </c>
      <c r="O1597" s="15"/>
      <c r="P1597" s="6">
        <v>41791.515787037039</v>
      </c>
      <c r="Q1597" s="18" t="s">
        <v>6310</v>
      </c>
      <c r="R1597" s="19" t="s">
        <v>6311</v>
      </c>
      <c r="S1597" s="11"/>
      <c r="T1597" s="11"/>
      <c r="U1597" s="10" t="str">
        <f>HYPERLINK("https://pbs.twimg.com/profile_images/998862677198848000/IHx8rZ6c.jpg","View")</f>
        <v>View</v>
      </c>
    </row>
    <row r="1598" spans="1:21" ht="40.799999999999997">
      <c r="A1598" s="6">
        <v>43441.411817129629</v>
      </c>
      <c r="B1598" s="7" t="str">
        <f>HYPERLINK("https://twitter.com/JCRodriguezNava","@JCRodriguezNava")</f>
        <v>@JCRodriguezNava</v>
      </c>
      <c r="C1598" s="8" t="s">
        <v>3144</v>
      </c>
      <c r="D1598" s="9" t="s">
        <v>3169</v>
      </c>
      <c r="E1598" s="10" t="str">
        <f>HYPERLINK("https://twitter.com/JCRodriguezNava/status/1070964383952576512","1070964383952576512")</f>
        <v>1070964383952576512</v>
      </c>
      <c r="F1598" s="11"/>
      <c r="G1598" s="12" t="s">
        <v>3170</v>
      </c>
      <c r="H1598" s="11"/>
      <c r="I1598" s="13">
        <v>1</v>
      </c>
      <c r="J1598" s="13">
        <v>0</v>
      </c>
      <c r="K1598" s="14" t="str">
        <f t="shared" si="276"/>
        <v>Twitter Web Client</v>
      </c>
      <c r="L1598" s="13">
        <v>882</v>
      </c>
      <c r="M1598" s="13">
        <v>910</v>
      </c>
      <c r="N1598" s="13">
        <v>3</v>
      </c>
      <c r="O1598" s="15"/>
      <c r="P1598" s="6">
        <v>40991.854259259257</v>
      </c>
      <c r="Q1598" s="18" t="s">
        <v>3148</v>
      </c>
      <c r="R1598" s="19" t="s">
        <v>3149</v>
      </c>
      <c r="S1598" s="11"/>
      <c r="T1598" s="11"/>
      <c r="U1598" s="10" t="str">
        <f>HYPERLINK("https://pbs.twimg.com/profile_images/1034044578788200449/lpBioI0s.jpg","View")</f>
        <v>View</v>
      </c>
    </row>
    <row r="1599" spans="1:21" ht="51">
      <c r="A1599" s="6">
        <v>43441.411504629628</v>
      </c>
      <c r="B1599" s="7" t="str">
        <f>HYPERLINK("https://twitter.com/PedroAIH0","@PedroAIH0")</f>
        <v>@PedroAIH0</v>
      </c>
      <c r="C1599" s="8" t="s">
        <v>6313</v>
      </c>
      <c r="D1599" s="9" t="s">
        <v>6314</v>
      </c>
      <c r="E1599" s="10" t="str">
        <f>HYPERLINK("https://twitter.com/PedroAIH0/status/1070964272103075840","1070964272103075840")</f>
        <v>1070964272103075840</v>
      </c>
      <c r="F1599" s="18" t="s">
        <v>6315</v>
      </c>
      <c r="G1599" s="11"/>
      <c r="H1599" s="11"/>
      <c r="I1599" s="13">
        <v>0</v>
      </c>
      <c r="J1599" s="13">
        <v>0</v>
      </c>
      <c r="K1599" s="14" t="str">
        <f>HYPERLINK("http://twitter.com/download/android","Twitter for Android")</f>
        <v>Twitter for Android</v>
      </c>
      <c r="L1599" s="13">
        <v>1666</v>
      </c>
      <c r="M1599" s="13">
        <v>1577</v>
      </c>
      <c r="N1599" s="13">
        <v>25</v>
      </c>
      <c r="O1599" s="15"/>
      <c r="P1599" s="6">
        <v>40745.816863425927</v>
      </c>
      <c r="Q1599" s="18" t="s">
        <v>1616</v>
      </c>
      <c r="R1599" s="19" t="s">
        <v>6316</v>
      </c>
      <c r="S1599" s="11"/>
      <c r="T1599" s="11"/>
      <c r="U1599" s="10" t="str">
        <f>HYPERLINK("https://pbs.twimg.com/profile_images/1060457543506542592/Uf13j53L.jpg","View")</f>
        <v>View</v>
      </c>
    </row>
    <row r="1600" spans="1:21" ht="61.2">
      <c r="A1600" s="6">
        <v>43441.410694444443</v>
      </c>
      <c r="B1600" s="7" t="str">
        <f>HYPERLINK("https://twitter.com/CalzadoJos","@CalzadoJos")</f>
        <v>@CalzadoJos</v>
      </c>
      <c r="C1600" s="8" t="s">
        <v>6317</v>
      </c>
      <c r="D1600" s="9" t="s">
        <v>6318</v>
      </c>
      <c r="E1600" s="10" t="str">
        <f>HYPERLINK("https://twitter.com/CalzadoJos/status/1070963979017691137","1070963979017691137")</f>
        <v>1070963979017691137</v>
      </c>
      <c r="F1600" s="18" t="s">
        <v>6319</v>
      </c>
      <c r="G1600" s="11"/>
      <c r="H1600" s="11"/>
      <c r="I1600" s="13">
        <v>0</v>
      </c>
      <c r="J1600" s="13">
        <v>4</v>
      </c>
      <c r="K1600" s="14" t="str">
        <f>HYPERLINK("http://twitter.com/download/iphone","Twitter for iPhone")</f>
        <v>Twitter for iPhone</v>
      </c>
      <c r="L1600" s="13">
        <v>1434</v>
      </c>
      <c r="M1600" s="13">
        <v>328</v>
      </c>
      <c r="N1600" s="13">
        <v>24</v>
      </c>
      <c r="O1600" s="15"/>
      <c r="P1600" s="6">
        <v>40888.951874999999</v>
      </c>
      <c r="Q1600" s="18" t="s">
        <v>6320</v>
      </c>
      <c r="R1600" s="19" t="s">
        <v>6321</v>
      </c>
      <c r="S1600" s="11"/>
      <c r="T1600" s="11"/>
      <c r="U1600" s="10" t="str">
        <f>HYPERLINK("https://pbs.twimg.com/profile_images/917488025332015105/l9nBzJGv.jpg","View")</f>
        <v>View</v>
      </c>
    </row>
    <row r="1601" spans="1:21" ht="51">
      <c r="A1601" s="6">
        <v>43441.410219907411</v>
      </c>
      <c r="B1601" s="7" t="str">
        <f>HYPERLINK("https://twitter.com/pipasdecoco","@pipasdecoco")</f>
        <v>@pipasdecoco</v>
      </c>
      <c r="C1601" s="8" t="s">
        <v>3174</v>
      </c>
      <c r="D1601" s="9" t="s">
        <v>3175</v>
      </c>
      <c r="E1601" s="10" t="str">
        <f>HYPERLINK("https://twitter.com/pipasdecoco/status/1070963804182335493","1070963804182335493")</f>
        <v>1070963804182335493</v>
      </c>
      <c r="F1601" s="12" t="s">
        <v>3177</v>
      </c>
      <c r="G1601" s="11"/>
      <c r="H1601" s="11"/>
      <c r="I1601" s="13">
        <v>0</v>
      </c>
      <c r="J1601" s="13">
        <v>0</v>
      </c>
      <c r="K1601" s="14" t="str">
        <f>HYPERLINK("http://twitter.com","Twitter Web Client")</f>
        <v>Twitter Web Client</v>
      </c>
      <c r="L1601" s="13">
        <v>351</v>
      </c>
      <c r="M1601" s="13">
        <v>876</v>
      </c>
      <c r="N1601" s="13">
        <v>10</v>
      </c>
      <c r="O1601" s="15"/>
      <c r="P1601" s="6">
        <v>40682.17328703704</v>
      </c>
      <c r="Q1601" s="18" t="s">
        <v>3178</v>
      </c>
      <c r="R1601" s="19" t="s">
        <v>3179</v>
      </c>
      <c r="S1601" s="12" t="s">
        <v>3180</v>
      </c>
      <c r="T1601" s="11"/>
      <c r="U1601" s="10" t="str">
        <f>HYPERLINK("https://pbs.twimg.com/profile_images/1047838173903118336/pPeyoKX3.jpg","View")</f>
        <v>View</v>
      </c>
    </row>
    <row r="1602" spans="1:21" ht="71.400000000000006">
      <c r="A1602" s="6">
        <v>43441.409305555557</v>
      </c>
      <c r="B1602" s="7" t="str">
        <f>HYPERLINK("https://twitter.com/sepaesbi","@sepaesbi")</f>
        <v>@sepaesbi</v>
      </c>
      <c r="C1602" s="8" t="s">
        <v>284</v>
      </c>
      <c r="D1602" s="9" t="s">
        <v>6322</v>
      </c>
      <c r="E1602" s="10" t="str">
        <f>HYPERLINK("https://twitter.com/sepaesbi/status/1070963473524363264","1070963473524363264")</f>
        <v>1070963473524363264</v>
      </c>
      <c r="F1602" s="18" t="s">
        <v>6323</v>
      </c>
      <c r="G1602" s="11"/>
      <c r="H1602" s="11"/>
      <c r="I1602" s="13">
        <v>0</v>
      </c>
      <c r="J1602" s="13">
        <v>1</v>
      </c>
      <c r="K1602" s="14" t="str">
        <f>HYPERLINK("https://mobile.twitter.com","Twitter Lite")</f>
        <v>Twitter Lite</v>
      </c>
      <c r="L1602" s="13">
        <v>69</v>
      </c>
      <c r="M1602" s="13">
        <v>278</v>
      </c>
      <c r="N1602" s="13">
        <v>1</v>
      </c>
      <c r="O1602" s="15"/>
      <c r="P1602" s="6">
        <v>41724.721539351856</v>
      </c>
      <c r="Q1602" s="11"/>
      <c r="R1602" s="17"/>
      <c r="S1602" s="11"/>
      <c r="T1602" s="11"/>
      <c r="U1602" s="16" t="s">
        <v>191</v>
      </c>
    </row>
    <row r="1603" spans="1:21" ht="20.399999999999999">
      <c r="A1603" s="6">
        <v>43441.408321759256</v>
      </c>
      <c r="B1603" s="7" t="str">
        <f>HYPERLINK("https://twitter.com/kirytekantaba","@kirytekantaba")</f>
        <v>@kirytekantaba</v>
      </c>
      <c r="C1603" s="8" t="s">
        <v>3183</v>
      </c>
      <c r="D1603" s="9" t="s">
        <v>3184</v>
      </c>
      <c r="E1603" s="10" t="str">
        <f>HYPERLINK("https://twitter.com/kirytekantaba/status/1070963117419622400","1070963117419622400")</f>
        <v>1070963117419622400</v>
      </c>
      <c r="F1603" s="12" t="s">
        <v>3185</v>
      </c>
      <c r="G1603" s="11"/>
      <c r="H1603" s="11"/>
      <c r="I1603" s="13">
        <v>0</v>
      </c>
      <c r="J1603" s="13">
        <v>0</v>
      </c>
      <c r="K1603" s="14" t="str">
        <f>HYPERLINK("http://twitter.com/download/iphone","Twitter for iPhone")</f>
        <v>Twitter for iPhone</v>
      </c>
      <c r="L1603" s="13">
        <v>186</v>
      </c>
      <c r="M1603" s="13">
        <v>204</v>
      </c>
      <c r="N1603" s="13">
        <v>7</v>
      </c>
      <c r="O1603" s="15"/>
      <c r="P1603" s="6">
        <v>40580.95616898148</v>
      </c>
      <c r="Q1603" s="11"/>
      <c r="R1603" s="19" t="s">
        <v>3186</v>
      </c>
      <c r="S1603" s="11"/>
      <c r="T1603" s="11"/>
      <c r="U1603" s="10" t="str">
        <f>HYPERLINK("https://pbs.twimg.com/profile_images/1007239384943472640/PctR_Cla.jpg","View")</f>
        <v>View</v>
      </c>
    </row>
    <row r="1604" spans="1:21" ht="40.799999999999997">
      <c r="A1604" s="6">
        <v>43441.407141203701</v>
      </c>
      <c r="B1604" s="7" t="str">
        <f>HYPERLINK("https://twitter.com/mariusBrutux","@mariusBrutux")</f>
        <v>@mariusBrutux</v>
      </c>
      <c r="C1604" s="8" t="s">
        <v>3188</v>
      </c>
      <c r="D1604" s="9" t="s">
        <v>3189</v>
      </c>
      <c r="E1604" s="10" t="str">
        <f>HYPERLINK("https://twitter.com/mariusBrutux/status/1070962689965473793","1070962689965473793")</f>
        <v>1070962689965473793</v>
      </c>
      <c r="F1604" s="11"/>
      <c r="G1604" s="12" t="s">
        <v>3191</v>
      </c>
      <c r="H1604" s="11"/>
      <c r="I1604" s="13">
        <v>1</v>
      </c>
      <c r="J1604" s="13">
        <v>0</v>
      </c>
      <c r="K1604" s="14" t="str">
        <f t="shared" ref="K1604:K1605" si="277">HYPERLINK("http://twitter.com","Twitter Web Client")</f>
        <v>Twitter Web Client</v>
      </c>
      <c r="L1604" s="13">
        <v>78</v>
      </c>
      <c r="M1604" s="13">
        <v>115</v>
      </c>
      <c r="N1604" s="13">
        <v>0</v>
      </c>
      <c r="O1604" s="15"/>
      <c r="P1604" s="6">
        <v>42665.337175925924</v>
      </c>
      <c r="Q1604" s="18" t="s">
        <v>3192</v>
      </c>
      <c r="R1604" s="19" t="s">
        <v>3193</v>
      </c>
      <c r="S1604" s="11"/>
      <c r="T1604" s="11"/>
      <c r="U1604" s="10" t="str">
        <f>HYPERLINK("https://pbs.twimg.com/profile_images/916382535797694465/L6AisbD4.jpg","View")</f>
        <v>View</v>
      </c>
    </row>
    <row r="1605" spans="1:21" ht="51">
      <c r="A1605" s="6">
        <v>43441.406527777777</v>
      </c>
      <c r="B1605" s="7" t="str">
        <f>HYPERLINK("https://twitter.com/bruselensewp","@bruselensewp")</f>
        <v>@bruselensewp</v>
      </c>
      <c r="C1605" s="8" t="s">
        <v>3195</v>
      </c>
      <c r="D1605" s="9" t="s">
        <v>3196</v>
      </c>
      <c r="E1605" s="10" t="str">
        <f>HYPERLINK("https://twitter.com/bruselensewp/status/1070962467826778112","1070962467826778112")</f>
        <v>1070962467826778112</v>
      </c>
      <c r="F1605" s="18" t="s">
        <v>3197</v>
      </c>
      <c r="G1605" s="11"/>
      <c r="H1605" s="11"/>
      <c r="I1605" s="13">
        <v>0</v>
      </c>
      <c r="J1605" s="13">
        <v>0</v>
      </c>
      <c r="K1605" s="14" t="str">
        <f t="shared" si="277"/>
        <v>Twitter Web Client</v>
      </c>
      <c r="L1605" s="13">
        <v>150</v>
      </c>
      <c r="M1605" s="13">
        <v>98</v>
      </c>
      <c r="N1605" s="13">
        <v>1</v>
      </c>
      <c r="O1605" s="15"/>
      <c r="P1605" s="6">
        <v>41340.937511574077</v>
      </c>
      <c r="Q1605" s="18" t="s">
        <v>3198</v>
      </c>
      <c r="R1605" s="19" t="s">
        <v>3199</v>
      </c>
      <c r="S1605" s="12" t="s">
        <v>3201</v>
      </c>
      <c r="T1605" s="11"/>
      <c r="U1605" s="10" t="str">
        <f>HYPERLINK("https://pbs.twimg.com/profile_images/3350934277/55bc07c1013ebdec5689f8e31b8adf6c.jpeg","View")</f>
        <v>View</v>
      </c>
    </row>
    <row r="1606" spans="1:21" ht="20.399999999999999">
      <c r="A1606" s="6">
        <v>43441.406400462962</v>
      </c>
      <c r="B1606" s="7" t="str">
        <f>HYPERLINK("https://twitter.com/David_RMadrid8","@David_RMadrid8")</f>
        <v>@David_RMadrid8</v>
      </c>
      <c r="C1606" s="8" t="s">
        <v>6324</v>
      </c>
      <c r="D1606" s="9" t="s">
        <v>6325</v>
      </c>
      <c r="E1606" s="10" t="str">
        <f>HYPERLINK("https://twitter.com/David_RMadrid8/status/1070962420594761728","1070962420594761728")</f>
        <v>1070962420594761728</v>
      </c>
      <c r="F1606" s="11"/>
      <c r="G1606" s="11"/>
      <c r="H1606" s="11"/>
      <c r="I1606" s="13">
        <v>0</v>
      </c>
      <c r="J1606" s="13">
        <v>1</v>
      </c>
      <c r="K1606" s="14" t="str">
        <f>HYPERLINK("http://twitter.com/download/android","Twitter for Android")</f>
        <v>Twitter for Android</v>
      </c>
      <c r="L1606" s="13">
        <v>2941</v>
      </c>
      <c r="M1606" s="13">
        <v>2501</v>
      </c>
      <c r="N1606" s="13">
        <v>24</v>
      </c>
      <c r="O1606" s="15"/>
      <c r="P1606" s="6">
        <v>41243.894837962966</v>
      </c>
      <c r="Q1606" s="11"/>
      <c r="R1606" s="19" t="s">
        <v>6326</v>
      </c>
      <c r="S1606" s="12" t="s">
        <v>6327</v>
      </c>
      <c r="T1606" s="11"/>
      <c r="U1606" s="10" t="str">
        <f>HYPERLINK("https://pbs.twimg.com/profile_images/1042028792531832832/bI4Nxq0A.jpg","View")</f>
        <v>View</v>
      </c>
    </row>
    <row r="1607" spans="1:21" ht="30.6">
      <c r="A1607" s="6">
        <v>43441.406284722223</v>
      </c>
      <c r="B1607" s="7" t="str">
        <f>HYPERLINK("https://twitter.com/quediario","@quediario")</f>
        <v>@quediario</v>
      </c>
      <c r="C1607" s="8" t="s">
        <v>1854</v>
      </c>
      <c r="D1607" s="9" t="s">
        <v>6328</v>
      </c>
      <c r="E1607" s="10" t="str">
        <f>HYPERLINK("https://twitter.com/quediario/status/1070962381398917120","1070962381398917120")</f>
        <v>1070962381398917120</v>
      </c>
      <c r="F1607" s="12" t="s">
        <v>1858</v>
      </c>
      <c r="G1607" s="12" t="s">
        <v>6329</v>
      </c>
      <c r="H1607" s="11"/>
      <c r="I1607" s="13">
        <v>0</v>
      </c>
      <c r="J1607" s="13">
        <v>0</v>
      </c>
      <c r="K1607" s="14" t="str">
        <f>HYPERLINK("https://www.hootsuite.com","Hootsuite Inc.")</f>
        <v>Hootsuite Inc.</v>
      </c>
      <c r="L1607" s="13">
        <v>42127</v>
      </c>
      <c r="M1607" s="13">
        <v>19449</v>
      </c>
      <c r="N1607" s="13">
        <v>902</v>
      </c>
      <c r="O1607" s="16" t="s">
        <v>25</v>
      </c>
      <c r="P1607" s="6">
        <v>39904.468252314815</v>
      </c>
      <c r="Q1607" s="18" t="s">
        <v>100</v>
      </c>
      <c r="R1607" s="19" t="s">
        <v>1861</v>
      </c>
      <c r="S1607" s="12" t="s">
        <v>1862</v>
      </c>
      <c r="T1607" s="11"/>
      <c r="U1607" s="10" t="str">
        <f>HYPERLINK("https://pbs.twimg.com/profile_images/921305149435465728/fPbLkA-k.jpg","View")</f>
        <v>View</v>
      </c>
    </row>
    <row r="1608" spans="1:21" ht="30.6">
      <c r="A1608" s="6">
        <v>43441.40625</v>
      </c>
      <c r="B1608" s="7" t="str">
        <f>HYPERLINK("https://twitter.com/randomsigfrid","@randomsigfrid")</f>
        <v>@randomsigfrid</v>
      </c>
      <c r="C1608" s="8" t="s">
        <v>577</v>
      </c>
      <c r="D1608" s="9" t="s">
        <v>6330</v>
      </c>
      <c r="E1608" s="10" t="str">
        <f>HYPERLINK("https://twitter.com/randomsigfrid/status/1070962368820207617","1070962368820207617")</f>
        <v>1070962368820207617</v>
      </c>
      <c r="F1608" s="11"/>
      <c r="G1608" s="11"/>
      <c r="H1608" s="11"/>
      <c r="I1608" s="13">
        <v>0</v>
      </c>
      <c r="J1608" s="13">
        <v>0</v>
      </c>
      <c r="K1608" s="14" t="str">
        <f>HYPERLINK("http://google.es","Sigfrid SorIA")</f>
        <v>Sigfrid SorIA</v>
      </c>
      <c r="L1608" s="13">
        <v>85</v>
      </c>
      <c r="M1608" s="13">
        <v>0</v>
      </c>
      <c r="N1608" s="13">
        <v>10</v>
      </c>
      <c r="O1608" s="15"/>
      <c r="P1608" s="6">
        <v>42073.939733796295</v>
      </c>
      <c r="Q1608" s="18" t="s">
        <v>583</v>
      </c>
      <c r="R1608" s="19" t="s">
        <v>584</v>
      </c>
      <c r="S1608" s="12" t="s">
        <v>585</v>
      </c>
      <c r="T1608" s="11"/>
      <c r="U1608" s="10" t="str">
        <f>HYPERLINK("https://pbs.twimg.com/profile_images/578752890505842688/oDj0BXDA.jpeg","View")</f>
        <v>View</v>
      </c>
    </row>
    <row r="1609" spans="1:21" ht="40.799999999999997">
      <c r="A1609" s="6">
        <v>43441.405127314814</v>
      </c>
      <c r="B1609" s="7" t="str">
        <f>HYPERLINK("https://twitter.com/svaldesfa","@svaldesfa")</f>
        <v>@svaldesfa</v>
      </c>
      <c r="C1609" s="8" t="s">
        <v>5099</v>
      </c>
      <c r="D1609" s="9" t="s">
        <v>6331</v>
      </c>
      <c r="E1609" s="10" t="str">
        <f>HYPERLINK("https://twitter.com/svaldesfa/status/1070961960089542658","1070961960089542658")</f>
        <v>1070961960089542658</v>
      </c>
      <c r="F1609" s="12" t="s">
        <v>6332</v>
      </c>
      <c r="G1609" s="11"/>
      <c r="H1609" s="11"/>
      <c r="I1609" s="13">
        <v>2</v>
      </c>
      <c r="J1609" s="13">
        <v>0</v>
      </c>
      <c r="K1609" s="14" t="str">
        <f>HYPERLINK("http://twitter.com","Twitter Web Client")</f>
        <v>Twitter Web Client</v>
      </c>
      <c r="L1609" s="13">
        <v>779</v>
      </c>
      <c r="M1609" s="13">
        <v>768</v>
      </c>
      <c r="N1609" s="13">
        <v>32</v>
      </c>
      <c r="O1609" s="15"/>
      <c r="P1609" s="6">
        <v>40890.685243055559</v>
      </c>
      <c r="Q1609" s="18" t="s">
        <v>307</v>
      </c>
      <c r="R1609" s="19" t="s">
        <v>5103</v>
      </c>
      <c r="S1609" s="12" t="s">
        <v>5104</v>
      </c>
      <c r="T1609" s="11"/>
      <c r="U1609" s="10" t="str">
        <f>HYPERLINK("https://pbs.twimg.com/profile_images/633728637611704320/8bFabwal.jpg","View")</f>
        <v>View</v>
      </c>
    </row>
    <row r="1610" spans="1:21" ht="40.799999999999997">
      <c r="A1610" s="6">
        <v>43441.404930555553</v>
      </c>
      <c r="B1610" s="7" t="str">
        <f>HYPERLINK("https://twitter.com/ATGIE1","@ATGIE1")</f>
        <v>@ATGIE1</v>
      </c>
      <c r="C1610" s="8" t="s">
        <v>6333</v>
      </c>
      <c r="D1610" s="9" t="s">
        <v>6334</v>
      </c>
      <c r="E1610" s="10" t="str">
        <f>HYPERLINK("https://twitter.com/ATGIE1/status/1070961888668860417","1070961888668860417")</f>
        <v>1070961888668860417</v>
      </c>
      <c r="F1610" s="18" t="s">
        <v>4438</v>
      </c>
      <c r="G1610" s="11"/>
      <c r="H1610" s="11"/>
      <c r="I1610" s="13">
        <v>0</v>
      </c>
      <c r="J1610" s="13">
        <v>0</v>
      </c>
      <c r="K1610" s="14" t="str">
        <f>HYPERLINK("http://twitter.com/download/android","Twitter for Android")</f>
        <v>Twitter for Android</v>
      </c>
      <c r="L1610" s="13">
        <v>47</v>
      </c>
      <c r="M1610" s="13">
        <v>100</v>
      </c>
      <c r="N1610" s="13">
        <v>1</v>
      </c>
      <c r="O1610" s="15"/>
      <c r="P1610" s="6">
        <v>42896.962534722217</v>
      </c>
      <c r="Q1610" s="18" t="s">
        <v>41</v>
      </c>
      <c r="R1610" s="19" t="s">
        <v>6335</v>
      </c>
      <c r="S1610" s="11"/>
      <c r="T1610" s="11"/>
      <c r="U1610" s="10" t="str">
        <f>HYPERLINK("https://pbs.twimg.com/profile_images/878697326315003905/Q8tWz_XM.jpg","View")</f>
        <v>View</v>
      </c>
    </row>
    <row r="1611" spans="1:21" ht="40.799999999999997">
      <c r="A1611" s="6">
        <v>43441.403877314813</v>
      </c>
      <c r="B1611" s="7" t="str">
        <f>HYPERLINK("https://twitter.com/carlos_dpf","@carlos_dpf")</f>
        <v>@carlos_dpf</v>
      </c>
      <c r="C1611" s="8" t="s">
        <v>6336</v>
      </c>
      <c r="D1611" s="9" t="s">
        <v>6337</v>
      </c>
      <c r="E1611" s="10" t="str">
        <f>HYPERLINK("https://twitter.com/carlos_dpf/status/1070961508828540928","1070961508828540928")</f>
        <v>1070961508828540928</v>
      </c>
      <c r="F1611" s="12" t="s">
        <v>2803</v>
      </c>
      <c r="G1611" s="11"/>
      <c r="H1611" s="11"/>
      <c r="I1611" s="13">
        <v>0</v>
      </c>
      <c r="J1611" s="13">
        <v>0</v>
      </c>
      <c r="K1611" s="14" t="str">
        <f>HYPERLINK("http://twitter.com/download/iphone","Twitter for iPhone")</f>
        <v>Twitter for iPhone</v>
      </c>
      <c r="L1611" s="13">
        <v>658</v>
      </c>
      <c r="M1611" s="13">
        <v>662</v>
      </c>
      <c r="N1611" s="13">
        <v>0</v>
      </c>
      <c r="O1611" s="15"/>
      <c r="P1611" s="6">
        <v>42835.402268518519</v>
      </c>
      <c r="Q1611" s="18" t="s">
        <v>42</v>
      </c>
      <c r="R1611" s="19" t="s">
        <v>6338</v>
      </c>
      <c r="S1611" s="11"/>
      <c r="T1611" s="11"/>
      <c r="U1611" s="10" t="str">
        <f>HYPERLINK("https://pbs.twimg.com/profile_images/852207956296912896/Qeb62rbr.jpg","View")</f>
        <v>View</v>
      </c>
    </row>
    <row r="1612" spans="1:21" ht="51">
      <c r="A1612" s="6">
        <v>43441.403715277775</v>
      </c>
      <c r="B1612" s="7" t="str">
        <f>HYPERLINK("https://twitter.com/Guardaespalda10","@Guardaespalda10")</f>
        <v>@Guardaespalda10</v>
      </c>
      <c r="C1612" s="8" t="s">
        <v>3203</v>
      </c>
      <c r="D1612" s="9" t="s">
        <v>3204</v>
      </c>
      <c r="E1612" s="10" t="str">
        <f>HYPERLINK("https://twitter.com/Guardaespalda10/status/1070961450318028800","1070961450318028800")</f>
        <v>1070961450318028800</v>
      </c>
      <c r="F1612" s="12" t="s">
        <v>3205</v>
      </c>
      <c r="G1612" s="11"/>
      <c r="H1612" s="11"/>
      <c r="I1612" s="13">
        <v>0</v>
      </c>
      <c r="J1612" s="13">
        <v>0</v>
      </c>
      <c r="K1612" s="14" t="str">
        <f>HYPERLINK("http://twitter.com/download/android","Twitter for Android")</f>
        <v>Twitter for Android</v>
      </c>
      <c r="L1612" s="13">
        <v>145</v>
      </c>
      <c r="M1612" s="13">
        <v>122</v>
      </c>
      <c r="N1612" s="13">
        <v>0</v>
      </c>
      <c r="O1612" s="15"/>
      <c r="P1612" s="6">
        <v>42422.382002314815</v>
      </c>
      <c r="Q1612" s="11"/>
      <c r="R1612" s="19" t="s">
        <v>3208</v>
      </c>
      <c r="S1612" s="11"/>
      <c r="T1612" s="11"/>
      <c r="U1612" s="10" t="str">
        <f>HYPERLINK("https://pbs.twimg.com/profile_images/747429382311002116/JJfoMqW1.jpg","View")</f>
        <v>View</v>
      </c>
    </row>
    <row r="1613" spans="1:21" ht="30.6">
      <c r="A1613" s="6">
        <v>43441.403680555552</v>
      </c>
      <c r="B1613" s="7" t="str">
        <f>HYPERLINK("https://twitter.com/igb58","@igb58")</f>
        <v>@igb58</v>
      </c>
      <c r="C1613" s="8" t="s">
        <v>6339</v>
      </c>
      <c r="D1613" s="9" t="s">
        <v>6340</v>
      </c>
      <c r="E1613" s="10" t="str">
        <f>HYPERLINK("https://twitter.com/igb58/status/1070961436208390149","1070961436208390149")</f>
        <v>1070961436208390149</v>
      </c>
      <c r="F1613" s="12" t="s">
        <v>4493</v>
      </c>
      <c r="G1613" s="11"/>
      <c r="H1613" s="11"/>
      <c r="I1613" s="13">
        <v>0</v>
      </c>
      <c r="J1613" s="13">
        <v>0</v>
      </c>
      <c r="K1613" s="14" t="str">
        <f>HYPERLINK("http://twitter.com/download/iphone","Twitter for iPhone")</f>
        <v>Twitter for iPhone</v>
      </c>
      <c r="L1613" s="13">
        <v>3366</v>
      </c>
      <c r="M1613" s="13">
        <v>3205</v>
      </c>
      <c r="N1613" s="13">
        <v>20</v>
      </c>
      <c r="O1613" s="15"/>
      <c r="P1613" s="6">
        <v>41456.134016203701</v>
      </c>
      <c r="Q1613" s="18" t="s">
        <v>6341</v>
      </c>
      <c r="R1613" s="19" t="s">
        <v>6342</v>
      </c>
      <c r="S1613" s="12" t="s">
        <v>6343</v>
      </c>
      <c r="T1613" s="11"/>
      <c r="U1613" s="10" t="str">
        <f>HYPERLINK("https://pbs.twimg.com/profile_images/821499054777573377/QVK0550o.jpg","View")</f>
        <v>View</v>
      </c>
    </row>
    <row r="1614" spans="1:21" ht="51">
      <c r="A1614" s="6">
        <v>43441.402777777781</v>
      </c>
      <c r="B1614" s="7" t="str">
        <f>HYPERLINK("https://twitter.com/_Contrainfo","@_Contrainfo")</f>
        <v>@_Contrainfo</v>
      </c>
      <c r="C1614" s="22" t="s">
        <v>5895</v>
      </c>
      <c r="D1614" s="9" t="s">
        <v>6344</v>
      </c>
      <c r="E1614" s="10" t="str">
        <f>HYPERLINK("https://twitter.com/_Contrainfo/status/1070961109421699072","1070961109421699072")</f>
        <v>1070961109421699072</v>
      </c>
      <c r="F1614" s="12" t="s">
        <v>881</v>
      </c>
      <c r="G1614" s="11"/>
      <c r="H1614" s="11"/>
      <c r="I1614" s="13">
        <v>2</v>
      </c>
      <c r="J1614" s="13">
        <v>6</v>
      </c>
      <c r="K1614" s="14" t="str">
        <f>HYPERLINK("https://buffer.com","Buffer")</f>
        <v>Buffer</v>
      </c>
      <c r="L1614" s="13">
        <v>15352</v>
      </c>
      <c r="M1614" s="13">
        <v>1029</v>
      </c>
      <c r="N1614" s="13">
        <v>161</v>
      </c>
      <c r="O1614" s="15"/>
      <c r="P1614" s="6">
        <v>42577.386944444443</v>
      </c>
      <c r="Q1614" s="18" t="s">
        <v>5897</v>
      </c>
      <c r="R1614" s="19" t="s">
        <v>5898</v>
      </c>
      <c r="S1614" s="12" t="s">
        <v>5894</v>
      </c>
      <c r="T1614" s="11"/>
      <c r="U1614" s="10" t="str">
        <f>HYPERLINK("https://pbs.twimg.com/profile_images/940273743942651904/7k685Ol4.jpg","View")</f>
        <v>View</v>
      </c>
    </row>
    <row r="1615" spans="1:21" ht="51">
      <c r="A1615" s="6">
        <v>43441.402395833335</v>
      </c>
      <c r="B1615" s="7" t="str">
        <f>HYPERLINK("https://twitter.com/JuanAlbyte","@JuanAlbyte")</f>
        <v>@JuanAlbyte</v>
      </c>
      <c r="C1615" s="8" t="s">
        <v>3210</v>
      </c>
      <c r="D1615" s="9" t="s">
        <v>3211</v>
      </c>
      <c r="E1615" s="10" t="str">
        <f>HYPERLINK("https://twitter.com/JuanAlbyte/status/1070960969705242625","1070960969705242625")</f>
        <v>1070960969705242625</v>
      </c>
      <c r="F1615" s="11"/>
      <c r="G1615" s="11"/>
      <c r="H1615" s="11"/>
      <c r="I1615" s="13">
        <v>0</v>
      </c>
      <c r="J1615" s="13">
        <v>0</v>
      </c>
      <c r="K1615" s="14" t="str">
        <f t="shared" ref="K1615:K1616" si="278">HYPERLINK("http://twitter.com/download/iphone","Twitter for iPhone")</f>
        <v>Twitter for iPhone</v>
      </c>
      <c r="L1615" s="13">
        <v>1964</v>
      </c>
      <c r="M1615" s="13">
        <v>3782</v>
      </c>
      <c r="N1615" s="13">
        <v>20</v>
      </c>
      <c r="O1615" s="15"/>
      <c r="P1615" s="6">
        <v>41357.699050925927</v>
      </c>
      <c r="Q1615" s="18" t="s">
        <v>26</v>
      </c>
      <c r="R1615" s="19" t="s">
        <v>3213</v>
      </c>
      <c r="S1615" s="11"/>
      <c r="T1615" s="11"/>
      <c r="U1615" s="10" t="str">
        <f>HYPERLINK("https://pbs.twimg.com/profile_images/858400577704689664/HrP_VkXY.jpg","View")</f>
        <v>View</v>
      </c>
    </row>
    <row r="1616" spans="1:21" ht="20.399999999999999">
      <c r="A1616" s="6">
        <v>43441.40116898148</v>
      </c>
      <c r="B1616" s="7" t="str">
        <f>HYPERLINK("https://twitter.com/GemaTamarit","@GemaTamarit")</f>
        <v>@GemaTamarit</v>
      </c>
      <c r="C1616" s="8" t="s">
        <v>3214</v>
      </c>
      <c r="D1616" s="9" t="s">
        <v>3215</v>
      </c>
      <c r="E1616" s="10" t="str">
        <f>HYPERLINK("https://twitter.com/GemaTamarit/status/1070960526484758529","1070960526484758529")</f>
        <v>1070960526484758529</v>
      </c>
      <c r="F1616" s="12" t="s">
        <v>3216</v>
      </c>
      <c r="G1616" s="11"/>
      <c r="H1616" s="11"/>
      <c r="I1616" s="13">
        <v>2</v>
      </c>
      <c r="J1616" s="13">
        <v>2</v>
      </c>
      <c r="K1616" s="14" t="str">
        <f t="shared" si="278"/>
        <v>Twitter for iPhone</v>
      </c>
      <c r="L1616" s="13">
        <v>152</v>
      </c>
      <c r="M1616" s="13">
        <v>242</v>
      </c>
      <c r="N1616" s="13">
        <v>0</v>
      </c>
      <c r="O1616" s="15"/>
      <c r="P1616" s="6">
        <v>40667.904340277775</v>
      </c>
      <c r="Q1616" s="11"/>
      <c r="R1616" s="19" t="s">
        <v>973</v>
      </c>
      <c r="S1616" s="11"/>
      <c r="T1616" s="11"/>
      <c r="U1616" s="10" t="str">
        <f>HYPERLINK("https://pbs.twimg.com/profile_images/378800000785518612/91d04d965b1e19e57b8d08429ab13d18.jpeg","View")</f>
        <v>View</v>
      </c>
    </row>
    <row r="1617" spans="1:21" ht="20.399999999999999">
      <c r="A1617" s="6">
        <v>43441.400543981479</v>
      </c>
      <c r="B1617" s="7" t="str">
        <f>HYPERLINK("https://twitter.com/CwhRoss","@CwhRoss")</f>
        <v>@CwhRoss</v>
      </c>
      <c r="C1617" s="8" t="s">
        <v>3241</v>
      </c>
      <c r="D1617" s="9" t="s">
        <v>6345</v>
      </c>
      <c r="E1617" s="10" t="str">
        <f>HYPERLINK("https://twitter.com/CwhRoss/status/1070960300797644801","1070960300797644801")</f>
        <v>1070960300797644801</v>
      </c>
      <c r="F1617" s="12" t="s">
        <v>6346</v>
      </c>
      <c r="G1617" s="11"/>
      <c r="H1617" s="11"/>
      <c r="I1617" s="13">
        <v>0</v>
      </c>
      <c r="J1617" s="13">
        <v>0</v>
      </c>
      <c r="K1617" s="14" t="str">
        <f>HYPERLINK("http://www.facebook.com/twitter","Facebook")</f>
        <v>Facebook</v>
      </c>
      <c r="L1617" s="13">
        <v>170</v>
      </c>
      <c r="M1617" s="13">
        <v>2</v>
      </c>
      <c r="N1617" s="13">
        <v>45</v>
      </c>
      <c r="O1617" s="15"/>
      <c r="P1617" s="6">
        <v>41008.781701388885</v>
      </c>
      <c r="Q1617" s="18" t="s">
        <v>3245</v>
      </c>
      <c r="R1617" s="28" t="s">
        <v>3246</v>
      </c>
      <c r="S1617" s="12" t="s">
        <v>3250</v>
      </c>
      <c r="T1617" s="11"/>
      <c r="U1617" s="10" t="str">
        <f>HYPERLINK("https://pbs.twimg.com/profile_images/2076887937/Copy_of_cerdo_con_maciza.jpg","View")</f>
        <v>View</v>
      </c>
    </row>
    <row r="1618" spans="1:21" ht="40.799999999999997">
      <c r="A1618" s="6">
        <v>43441.398981481485</v>
      </c>
      <c r="B1618" s="7" t="str">
        <f>HYPERLINK("https://twitter.com/Beast_pe","@Beast_pe")</f>
        <v>@Beast_pe</v>
      </c>
      <c r="C1618" s="8" t="s">
        <v>6347</v>
      </c>
      <c r="D1618" s="9" t="s">
        <v>6348</v>
      </c>
      <c r="E1618" s="10" t="str">
        <f>HYPERLINK("https://twitter.com/Beast_pe/status/1070959735162241027","1070959735162241027")</f>
        <v>1070959735162241027</v>
      </c>
      <c r="F1618" s="11"/>
      <c r="G1618" s="11"/>
      <c r="H1618" s="11"/>
      <c r="I1618" s="13">
        <v>0</v>
      </c>
      <c r="J1618" s="13">
        <v>0</v>
      </c>
      <c r="K1618" s="14" t="str">
        <f t="shared" ref="K1618:K1619" si="279">HYPERLINK("http://twitter.com/download/android","Twitter for Android")</f>
        <v>Twitter for Android</v>
      </c>
      <c r="L1618" s="13">
        <v>44</v>
      </c>
      <c r="M1618" s="13">
        <v>176</v>
      </c>
      <c r="N1618" s="13">
        <v>0</v>
      </c>
      <c r="O1618" s="15"/>
      <c r="P1618" s="6">
        <v>42745.488402777773</v>
      </c>
      <c r="Q1618" s="11"/>
      <c r="R1618" s="19" t="s">
        <v>6349</v>
      </c>
      <c r="S1618" s="11"/>
      <c r="T1618" s="11"/>
      <c r="U1618" s="10" t="str">
        <f>HYPERLINK("https://pbs.twimg.com/profile_images/818780221650378752/EmCgodSr.jpg","View")</f>
        <v>View</v>
      </c>
    </row>
    <row r="1619" spans="1:21" ht="102">
      <c r="A1619" s="6">
        <v>43441.398969907408</v>
      </c>
      <c r="B1619" s="7" t="str">
        <f>HYPERLINK("https://twitter.com/luisesel","@luisesel")</f>
        <v>@luisesel</v>
      </c>
      <c r="C1619" s="8" t="s">
        <v>6350</v>
      </c>
      <c r="D1619" s="9" t="s">
        <v>6351</v>
      </c>
      <c r="E1619" s="10" t="str">
        <f>HYPERLINK("https://twitter.com/luisesel/status/1070959730875617280","1070959730875617280")</f>
        <v>1070959730875617280</v>
      </c>
      <c r="F1619" s="18" t="s">
        <v>6352</v>
      </c>
      <c r="G1619" s="11"/>
      <c r="H1619" s="11"/>
      <c r="I1619" s="13">
        <v>5</v>
      </c>
      <c r="J1619" s="13">
        <v>11</v>
      </c>
      <c r="K1619" s="14" t="str">
        <f t="shared" si="279"/>
        <v>Twitter for Android</v>
      </c>
      <c r="L1619" s="13">
        <v>412</v>
      </c>
      <c r="M1619" s="13">
        <v>91</v>
      </c>
      <c r="N1619" s="13">
        <v>4</v>
      </c>
      <c r="O1619" s="15"/>
      <c r="P1619" s="6">
        <v>42949.789652777778</v>
      </c>
      <c r="Q1619" s="11"/>
      <c r="R1619" s="19" t="s">
        <v>6353</v>
      </c>
      <c r="S1619" s="11"/>
      <c r="T1619" s="11"/>
      <c r="U1619" s="10" t="str">
        <f>HYPERLINK("https://pbs.twimg.com/profile_images/1063781211968061440/u_BCpspr.jpg","View")</f>
        <v>View</v>
      </c>
    </row>
    <row r="1620" spans="1:21" ht="20.399999999999999">
      <c r="A1620" s="6">
        <v>43441.398738425924</v>
      </c>
      <c r="B1620" s="7" t="str">
        <f>HYPERLINK("https://twitter.com/jovenandaluz","@jovenandaluz")</f>
        <v>@jovenandaluz</v>
      </c>
      <c r="C1620" s="8" t="s">
        <v>5777</v>
      </c>
      <c r="D1620" s="9" t="s">
        <v>6211</v>
      </c>
      <c r="E1620" s="10" t="str">
        <f>HYPERLINK("https://twitter.com/jovenandaluz/status/1070959644804349952","1070959644804349952")</f>
        <v>1070959644804349952</v>
      </c>
      <c r="F1620" s="12" t="s">
        <v>6354</v>
      </c>
      <c r="G1620" s="11"/>
      <c r="H1620" s="11"/>
      <c r="I1620" s="13">
        <v>0</v>
      </c>
      <c r="J1620" s="13">
        <v>0</v>
      </c>
      <c r="K1620" s="14" t="str">
        <f t="shared" ref="K1620:K1621" si="280">HYPERLINK("http://twitter.com","Twitter Web Client")</f>
        <v>Twitter Web Client</v>
      </c>
      <c r="L1620" s="13">
        <v>2624</v>
      </c>
      <c r="M1620" s="13">
        <v>2680</v>
      </c>
      <c r="N1620" s="13">
        <v>11</v>
      </c>
      <c r="O1620" s="15"/>
      <c r="P1620" s="6">
        <v>41374.977905092594</v>
      </c>
      <c r="Q1620" s="11"/>
      <c r="R1620" s="19" t="s">
        <v>5779</v>
      </c>
      <c r="S1620" s="11"/>
      <c r="T1620" s="11"/>
      <c r="U1620" s="10" t="str">
        <f>HYPERLINK("https://pbs.twimg.com/profile_images/925604270266777601/iLksBSPw.jpg","View")</f>
        <v>View</v>
      </c>
    </row>
    <row r="1621" spans="1:21" ht="30.6">
      <c r="A1621" s="6">
        <v>43441.398553240739</v>
      </c>
      <c r="B1621" s="7" t="str">
        <f>HYPERLINK("https://twitter.com/sepaesbi","@sepaesbi")</f>
        <v>@sepaesbi</v>
      </c>
      <c r="C1621" s="8" t="s">
        <v>284</v>
      </c>
      <c r="D1621" s="9" t="s">
        <v>4993</v>
      </c>
      <c r="E1621" s="10" t="str">
        <f>HYPERLINK("https://twitter.com/sepaesbi/status/1070959580006543361","1070959580006543361")</f>
        <v>1070959580006543361</v>
      </c>
      <c r="F1621" s="12" t="s">
        <v>4994</v>
      </c>
      <c r="G1621" s="11"/>
      <c r="H1621" s="11"/>
      <c r="I1621" s="13">
        <v>1</v>
      </c>
      <c r="J1621" s="13">
        <v>1</v>
      </c>
      <c r="K1621" s="14" t="str">
        <f t="shared" si="280"/>
        <v>Twitter Web Client</v>
      </c>
      <c r="L1621" s="13">
        <v>69</v>
      </c>
      <c r="M1621" s="13">
        <v>278</v>
      </c>
      <c r="N1621" s="13">
        <v>1</v>
      </c>
      <c r="O1621" s="15"/>
      <c r="P1621" s="6">
        <v>41724.721539351856</v>
      </c>
      <c r="Q1621" s="11"/>
      <c r="R1621" s="17"/>
      <c r="S1621" s="11"/>
      <c r="T1621" s="11"/>
      <c r="U1621" s="16" t="s">
        <v>191</v>
      </c>
    </row>
    <row r="1622" spans="1:21" ht="51">
      <c r="A1622" s="6">
        <v>43441.398530092592</v>
      </c>
      <c r="B1622" s="7" t="str">
        <f>HYPERLINK("https://twitter.com/AsunJos","@AsunJos")</f>
        <v>@AsunJos</v>
      </c>
      <c r="C1622" s="8" t="s">
        <v>6355</v>
      </c>
      <c r="D1622" s="9" t="s">
        <v>6356</v>
      </c>
      <c r="E1622" s="10" t="str">
        <f>HYPERLINK("https://twitter.com/AsunJos/status/1070959568786739201","1070959568786739201")</f>
        <v>1070959568786739201</v>
      </c>
      <c r="F1622" s="11"/>
      <c r="G1622" s="11"/>
      <c r="H1622" s="11"/>
      <c r="I1622" s="13">
        <v>0</v>
      </c>
      <c r="J1622" s="13">
        <v>0</v>
      </c>
      <c r="K1622" s="14" t="str">
        <f t="shared" ref="K1622:K1624" si="281">HYPERLINK("http://twitter.com/download/android","Twitter for Android")</f>
        <v>Twitter for Android</v>
      </c>
      <c r="L1622" s="13">
        <v>1072</v>
      </c>
      <c r="M1622" s="13">
        <v>1528</v>
      </c>
      <c r="N1622" s="13">
        <v>13</v>
      </c>
      <c r="O1622" s="15"/>
      <c r="P1622" s="6">
        <v>41274.732025462959</v>
      </c>
      <c r="Q1622" s="18" t="s">
        <v>6357</v>
      </c>
      <c r="R1622" s="19" t="s">
        <v>6358</v>
      </c>
      <c r="S1622" s="11"/>
      <c r="T1622" s="11"/>
      <c r="U1622" s="10" t="str">
        <f>HYPERLINK("https://pbs.twimg.com/profile_images/3046608647/d12b9505d06a172c0da9eb96e567143e.jpeg","View")</f>
        <v>View</v>
      </c>
    </row>
    <row r="1623" spans="1:21" ht="51">
      <c r="A1623" s="6">
        <v>43441.398043981477</v>
      </c>
      <c r="B1623" s="7" t="str">
        <f>HYPERLINK("https://twitter.com/DanielBernalCt","@DanielBernalCt")</f>
        <v>@DanielBernalCt</v>
      </c>
      <c r="C1623" s="8" t="s">
        <v>6359</v>
      </c>
      <c r="D1623" s="9" t="s">
        <v>6360</v>
      </c>
      <c r="E1623" s="10" t="str">
        <f>HYPERLINK("https://twitter.com/DanielBernalCt/status/1070959392080703489","1070959392080703489")</f>
        <v>1070959392080703489</v>
      </c>
      <c r="F1623" s="12" t="s">
        <v>3291</v>
      </c>
      <c r="G1623" s="12" t="s">
        <v>3292</v>
      </c>
      <c r="H1623" s="11"/>
      <c r="I1623" s="13">
        <v>0</v>
      </c>
      <c r="J1623" s="13">
        <v>0</v>
      </c>
      <c r="K1623" s="14" t="str">
        <f t="shared" si="281"/>
        <v>Twitter for Android</v>
      </c>
      <c r="L1623" s="13">
        <v>1169</v>
      </c>
      <c r="M1623" s="13">
        <v>1015</v>
      </c>
      <c r="N1623" s="13">
        <v>0</v>
      </c>
      <c r="O1623" s="15"/>
      <c r="P1623" s="6">
        <v>43218.45112268519</v>
      </c>
      <c r="Q1623" s="11"/>
      <c r="R1623" s="17"/>
      <c r="S1623" s="11"/>
      <c r="T1623" s="11"/>
      <c r="U1623" s="10" t="str">
        <f>HYPERLINK("https://pbs.twimg.com/profile_images/992292691416248321/ThUCTztY.jpg","View")</f>
        <v>View</v>
      </c>
    </row>
    <row r="1624" spans="1:21" ht="81.599999999999994">
      <c r="A1624" s="6">
        <v>43441.397997685184</v>
      </c>
      <c r="B1624" s="7" t="str">
        <f>HYPERLINK("https://twitter.com/oceanodearte","@oceanodearte")</f>
        <v>@oceanodearte</v>
      </c>
      <c r="C1624" s="8" t="s">
        <v>6361</v>
      </c>
      <c r="D1624" s="9" t="s">
        <v>6362</v>
      </c>
      <c r="E1624" s="10" t="str">
        <f>HYPERLINK("https://twitter.com/oceanodearte/status/1070959377643917312","1070959377643917312")</f>
        <v>1070959377643917312</v>
      </c>
      <c r="F1624" s="12" t="s">
        <v>6363</v>
      </c>
      <c r="G1624" s="12" t="s">
        <v>6364</v>
      </c>
      <c r="H1624" s="11"/>
      <c r="I1624" s="13">
        <v>0</v>
      </c>
      <c r="J1624" s="13">
        <v>1</v>
      </c>
      <c r="K1624" s="14" t="str">
        <f t="shared" si="281"/>
        <v>Twitter for Android</v>
      </c>
      <c r="L1624" s="13">
        <v>950</v>
      </c>
      <c r="M1624" s="13">
        <v>1565</v>
      </c>
      <c r="N1624" s="13">
        <v>16</v>
      </c>
      <c r="O1624" s="15"/>
      <c r="P1624" s="6">
        <v>40565.137650462959</v>
      </c>
      <c r="Q1624" s="18" t="s">
        <v>6365</v>
      </c>
      <c r="R1624" s="19" t="s">
        <v>6366</v>
      </c>
      <c r="S1624" s="12" t="s">
        <v>6367</v>
      </c>
      <c r="T1624" s="11"/>
      <c r="U1624" s="10" t="str">
        <f>HYPERLINK("https://pbs.twimg.com/profile_images/3466803859/e13ee50aa918d190758334642d96ef60.jpeg","View")</f>
        <v>View</v>
      </c>
    </row>
    <row r="1625" spans="1:21" ht="51">
      <c r="A1625" s="6">
        <v>43441.397881944446</v>
      </c>
      <c r="B1625" s="7" t="str">
        <f>HYPERLINK("https://twitter.com/brubeaker","@brubeaker")</f>
        <v>@brubeaker</v>
      </c>
      <c r="C1625" s="8" t="s">
        <v>6235</v>
      </c>
      <c r="D1625" s="9" t="s">
        <v>6368</v>
      </c>
      <c r="E1625" s="10" t="str">
        <f>HYPERLINK("https://twitter.com/brubeaker/status/1070959333771538433","1070959333771538433")</f>
        <v>1070959333771538433</v>
      </c>
      <c r="F1625" s="11"/>
      <c r="G1625" s="11"/>
      <c r="H1625" s="11"/>
      <c r="I1625" s="13">
        <v>0</v>
      </c>
      <c r="J1625" s="13">
        <v>0</v>
      </c>
      <c r="K1625" s="14" t="str">
        <f>HYPERLINK("http://twitter.com","Twitter Web Client")</f>
        <v>Twitter Web Client</v>
      </c>
      <c r="L1625" s="13">
        <v>38</v>
      </c>
      <c r="M1625" s="13">
        <v>164</v>
      </c>
      <c r="N1625" s="13">
        <v>2</v>
      </c>
      <c r="O1625" s="15"/>
      <c r="P1625" s="6">
        <v>41780.336550925924</v>
      </c>
      <c r="Q1625" s="11"/>
      <c r="R1625" s="19" t="s">
        <v>6237</v>
      </c>
      <c r="S1625" s="11"/>
      <c r="T1625" s="11"/>
      <c r="U1625" s="10" t="str">
        <f>HYPERLINK("https://pbs.twimg.com/profile_images/1036025081179332608/VWYH9QdS.jpg","View")</f>
        <v>View</v>
      </c>
    </row>
    <row r="1626" spans="1:21" ht="51">
      <c r="A1626" s="6">
        <v>43441.397129629629</v>
      </c>
      <c r="B1626" s="7" t="str">
        <f>HYPERLINK("https://twitter.com/ANTONIOPASTOR18","@ANTONIOPASTOR18")</f>
        <v>@ANTONIOPASTOR18</v>
      </c>
      <c r="C1626" s="8" t="s">
        <v>6369</v>
      </c>
      <c r="D1626" s="9" t="s">
        <v>6370</v>
      </c>
      <c r="E1626" s="10" t="str">
        <f>HYPERLINK("https://twitter.com/ANTONIOPASTOR18/status/1070959061196251136","1070959061196251136")</f>
        <v>1070959061196251136</v>
      </c>
      <c r="F1626" s="11"/>
      <c r="G1626" s="11"/>
      <c r="H1626" s="11"/>
      <c r="I1626" s="13">
        <v>0</v>
      </c>
      <c r="J1626" s="13">
        <v>1</v>
      </c>
      <c r="K1626" s="14" t="str">
        <f>HYPERLINK("http://twitter.com/download/iphone","Twitter for iPhone")</f>
        <v>Twitter for iPhone</v>
      </c>
      <c r="L1626" s="13">
        <v>47</v>
      </c>
      <c r="M1626" s="13">
        <v>188</v>
      </c>
      <c r="N1626" s="13">
        <v>1</v>
      </c>
      <c r="O1626" s="15"/>
      <c r="P1626" s="6">
        <v>41195.312083333338</v>
      </c>
      <c r="Q1626" s="18" t="s">
        <v>6371</v>
      </c>
      <c r="R1626" s="19" t="s">
        <v>6372</v>
      </c>
      <c r="S1626" s="12" t="s">
        <v>6373</v>
      </c>
      <c r="T1626" s="11"/>
      <c r="U1626" s="10" t="str">
        <f>HYPERLINK("https://pbs.twimg.com/profile_images/2874865639/d736f81076da0b78ac6a6b2147a9cbe4.jpeg","View")</f>
        <v>View</v>
      </c>
    </row>
    <row r="1627" spans="1:21" ht="40.799999999999997">
      <c r="A1627" s="6">
        <v>43441.39708333333</v>
      </c>
      <c r="B1627" s="7" t="str">
        <f>HYPERLINK("https://twitter.com/Berkhl","@Berkhl")</f>
        <v>@Berkhl</v>
      </c>
      <c r="C1627" s="8" t="s">
        <v>6374</v>
      </c>
      <c r="D1627" s="9" t="s">
        <v>6375</v>
      </c>
      <c r="E1627" s="10" t="str">
        <f>HYPERLINK("https://twitter.com/Berkhl/status/1070959044238721025","1070959044238721025")</f>
        <v>1070959044238721025</v>
      </c>
      <c r="F1627" s="12" t="s">
        <v>5959</v>
      </c>
      <c r="G1627" s="11"/>
      <c r="H1627" s="11"/>
      <c r="I1627" s="13">
        <v>1</v>
      </c>
      <c r="J1627" s="13">
        <v>1</v>
      </c>
      <c r="K1627" s="14" t="str">
        <f>HYPERLINK("http://twitter.com","Twitter Web Client")</f>
        <v>Twitter Web Client</v>
      </c>
      <c r="L1627" s="13">
        <v>1102</v>
      </c>
      <c r="M1627" s="13">
        <v>874</v>
      </c>
      <c r="N1627" s="13">
        <v>50</v>
      </c>
      <c r="O1627" s="15"/>
      <c r="P1627" s="6">
        <v>41710.488634259258</v>
      </c>
      <c r="Q1627" s="18" t="s">
        <v>6376</v>
      </c>
      <c r="R1627" s="19" t="s">
        <v>6377</v>
      </c>
      <c r="S1627" s="11"/>
      <c r="T1627" s="11"/>
      <c r="U1627" s="10" t="str">
        <f>HYPERLINK("https://pbs.twimg.com/profile_images/971485571121074177/pADWFhok.jpg","View")</f>
        <v>View</v>
      </c>
    </row>
    <row r="1628" spans="1:21" ht="40.799999999999997">
      <c r="A1628" s="6">
        <v>43441.396932870368</v>
      </c>
      <c r="B1628" s="7" t="str">
        <f>HYPERLINK("https://twitter.com/albertosi1974","@albertosi1974")</f>
        <v>@albertosi1974</v>
      </c>
      <c r="C1628" s="8" t="s">
        <v>3221</v>
      </c>
      <c r="D1628" s="9" t="s">
        <v>3222</v>
      </c>
      <c r="E1628" s="10" t="str">
        <f>HYPERLINK("https://twitter.com/albertosi1974/status/1070958988781596672","1070958988781596672")</f>
        <v>1070958988781596672</v>
      </c>
      <c r="F1628" s="11"/>
      <c r="G1628" s="11"/>
      <c r="H1628" s="11"/>
      <c r="I1628" s="13">
        <v>2</v>
      </c>
      <c r="J1628" s="13">
        <v>5</v>
      </c>
      <c r="K1628" s="14" t="str">
        <f>HYPERLINK("http://twitter.com/download/iphone","Twitter for iPhone")</f>
        <v>Twitter for iPhone</v>
      </c>
      <c r="L1628" s="13">
        <v>7283</v>
      </c>
      <c r="M1628" s="13">
        <v>6429</v>
      </c>
      <c r="N1628" s="13">
        <v>71</v>
      </c>
      <c r="O1628" s="15"/>
      <c r="P1628" s="6">
        <v>40522.640613425923</v>
      </c>
      <c r="Q1628" s="18" t="s">
        <v>3225</v>
      </c>
      <c r="R1628" s="19" t="s">
        <v>3226</v>
      </c>
      <c r="S1628" s="11"/>
      <c r="T1628" s="11"/>
      <c r="U1628" s="10" t="str">
        <f>HYPERLINK("https://pbs.twimg.com/profile_images/378800000541977847/317b65d4a4ddc6609bd8eee370250038.jpeg","View")</f>
        <v>View</v>
      </c>
    </row>
    <row r="1629" spans="1:21" ht="20.399999999999999">
      <c r="A1629" s="6">
        <v>43441.396539351852</v>
      </c>
      <c r="B1629" s="7" t="str">
        <f>HYPERLINK("https://twitter.com/excometals","@excometals")</f>
        <v>@excometals</v>
      </c>
      <c r="C1629" s="8" t="s">
        <v>3759</v>
      </c>
      <c r="D1629" s="9" t="s">
        <v>6378</v>
      </c>
      <c r="E1629" s="10" t="str">
        <f>HYPERLINK("https://twitter.com/excometals/status/1070958846380773377","1070958846380773377")</f>
        <v>1070958846380773377</v>
      </c>
      <c r="F1629" s="12" t="s">
        <v>6379</v>
      </c>
      <c r="G1629" s="11"/>
      <c r="H1629" s="11"/>
      <c r="I1629" s="13">
        <v>1</v>
      </c>
      <c r="J1629" s="13">
        <v>1</v>
      </c>
      <c r="K1629" s="14" t="str">
        <f>HYPERLINK("http://www.facebook.com/twitter","Facebook")</f>
        <v>Facebook</v>
      </c>
      <c r="L1629" s="13">
        <v>963</v>
      </c>
      <c r="M1629" s="13">
        <v>499</v>
      </c>
      <c r="N1629" s="13">
        <v>57</v>
      </c>
      <c r="O1629" s="15"/>
      <c r="P1629" s="6">
        <v>40623.696446759262</v>
      </c>
      <c r="Q1629" s="18" t="s">
        <v>42</v>
      </c>
      <c r="R1629" s="17"/>
      <c r="S1629" s="12" t="s">
        <v>3764</v>
      </c>
      <c r="T1629" s="11"/>
      <c r="U1629" s="10" t="str">
        <f>HYPERLINK("https://pbs.twimg.com/profile_images/1046250365228863488/Zl0YB5zT.jpg","View")</f>
        <v>View</v>
      </c>
    </row>
    <row r="1630" spans="1:21" ht="102">
      <c r="A1630" s="6">
        <v>43441.396377314813</v>
      </c>
      <c r="B1630" s="7" t="str">
        <f>HYPERLINK("https://twitter.com/HombreDCorazon","@HombreDCorazon")</f>
        <v>@HombreDCorazon</v>
      </c>
      <c r="C1630" s="8" t="s">
        <v>207</v>
      </c>
      <c r="D1630" s="9" t="s">
        <v>3229</v>
      </c>
      <c r="E1630" s="10" t="str">
        <f>HYPERLINK("https://twitter.com/HombreDCorazon/status/1070958790940463105","1070958790940463105")</f>
        <v>1070958790940463105</v>
      </c>
      <c r="F1630" s="12" t="s">
        <v>3230</v>
      </c>
      <c r="G1630" s="12" t="s">
        <v>3231</v>
      </c>
      <c r="H1630" s="11"/>
      <c r="I1630" s="13">
        <v>0</v>
      </c>
      <c r="J1630" s="13">
        <v>0</v>
      </c>
      <c r="K1630" s="14" t="str">
        <f>HYPERLINK("http://twitter.com/download/android","Twitter for Android")</f>
        <v>Twitter for Android</v>
      </c>
      <c r="L1630" s="13">
        <v>749</v>
      </c>
      <c r="M1630" s="13">
        <v>1776</v>
      </c>
      <c r="N1630" s="13">
        <v>6</v>
      </c>
      <c r="O1630" s="15"/>
      <c r="P1630" s="6">
        <v>42032.767581018517</v>
      </c>
      <c r="Q1630" s="18" t="s">
        <v>211</v>
      </c>
      <c r="R1630" s="17"/>
      <c r="S1630" s="11"/>
      <c r="T1630" s="11"/>
      <c r="U1630" s="10" t="str">
        <f>HYPERLINK("https://pbs.twimg.com/profile_images/575330986793132033/E4m8quzw.jpeg","View")</f>
        <v>View</v>
      </c>
    </row>
    <row r="1631" spans="1:21" ht="20.399999999999999">
      <c r="A1631" s="6">
        <v>43441.396226851852</v>
      </c>
      <c r="B1631" s="7" t="str">
        <f>HYPERLINK("https://twitter.com/Podemoscazorla","@Podemoscazorla")</f>
        <v>@Podemoscazorla</v>
      </c>
      <c r="C1631" s="8" t="s">
        <v>6380</v>
      </c>
      <c r="D1631" s="9" t="s">
        <v>6381</v>
      </c>
      <c r="E1631" s="10" t="str">
        <f>HYPERLINK("https://twitter.com/Podemoscazorla/status/1070958735303106560","1070958735303106560")</f>
        <v>1070958735303106560</v>
      </c>
      <c r="F1631" s="12" t="s">
        <v>2673</v>
      </c>
      <c r="G1631" s="11"/>
      <c r="H1631" s="11"/>
      <c r="I1631" s="13">
        <v>0</v>
      </c>
      <c r="J1631" s="13">
        <v>0</v>
      </c>
      <c r="K1631" s="14" t="str">
        <f>HYPERLINK("http://www.facebook.com/twitter","Facebook")</f>
        <v>Facebook</v>
      </c>
      <c r="L1631" s="13">
        <v>2008</v>
      </c>
      <c r="M1631" s="13">
        <v>840</v>
      </c>
      <c r="N1631" s="13">
        <v>27</v>
      </c>
      <c r="O1631" s="15"/>
      <c r="P1631" s="6">
        <v>41758.576423611114</v>
      </c>
      <c r="Q1631" s="11"/>
      <c r="R1631" s="17"/>
      <c r="S1631" s="11"/>
      <c r="T1631" s="11"/>
      <c r="U1631" s="10" t="str">
        <f>HYPERLINK("https://pbs.twimg.com/profile_images/1015169995809189888/7TbrVCxt.jpg","View")</f>
        <v>View</v>
      </c>
    </row>
    <row r="1632" spans="1:21" ht="30.6">
      <c r="A1632" s="6">
        <v>43441.39607638889</v>
      </c>
      <c r="B1632" s="7" t="str">
        <f>HYPERLINK("https://twitter.com/idpajares1974","@idpajares1974")</f>
        <v>@idpajares1974</v>
      </c>
      <c r="C1632" s="8" t="s">
        <v>5748</v>
      </c>
      <c r="D1632" s="9" t="s">
        <v>6167</v>
      </c>
      <c r="E1632" s="10" t="str">
        <f>HYPERLINK("https://twitter.com/idpajares1974/status/1070958679590137856","1070958679590137856")</f>
        <v>1070958679590137856</v>
      </c>
      <c r="F1632" s="12" t="s">
        <v>6168</v>
      </c>
      <c r="G1632" s="11"/>
      <c r="H1632" s="11"/>
      <c r="I1632" s="13">
        <v>0</v>
      </c>
      <c r="J1632" s="13">
        <v>0</v>
      </c>
      <c r="K1632" s="14" t="str">
        <f>HYPERLINK("http://twitter.com","Twitter Web Client")</f>
        <v>Twitter Web Client</v>
      </c>
      <c r="L1632" s="13">
        <v>178</v>
      </c>
      <c r="M1632" s="13">
        <v>406</v>
      </c>
      <c r="N1632" s="13">
        <v>8</v>
      </c>
      <c r="O1632" s="15"/>
      <c r="P1632" s="6">
        <v>40623.486261574071</v>
      </c>
      <c r="Q1632" s="18" t="s">
        <v>42</v>
      </c>
      <c r="R1632" s="19" t="s">
        <v>5751</v>
      </c>
      <c r="S1632" s="11"/>
      <c r="T1632" s="11"/>
      <c r="U1632" s="10" t="str">
        <f>HYPERLINK("https://pbs.twimg.com/profile_images/1069169554788622336/2K2S2m-H.jpg","View")</f>
        <v>View</v>
      </c>
    </row>
    <row r="1633" spans="1:21" ht="51">
      <c r="A1633" s="6">
        <v>43441.395173611112</v>
      </c>
      <c r="B1633" s="7" t="str">
        <f>HYPERLINK("https://twitter.com/AhoraCantabria","@AhoraCantabria")</f>
        <v>@AhoraCantabria</v>
      </c>
      <c r="C1633" s="8" t="s">
        <v>3104</v>
      </c>
      <c r="D1633" s="9" t="s">
        <v>6382</v>
      </c>
      <c r="E1633" s="10" t="str">
        <f>HYPERLINK("https://twitter.com/AhoraCantabria/status/1070958352551821312","1070958352551821312")</f>
        <v>1070958352551821312</v>
      </c>
      <c r="F1633" s="11"/>
      <c r="G1633" s="12" t="s">
        <v>6384</v>
      </c>
      <c r="H1633" s="11"/>
      <c r="I1633" s="13">
        <v>0</v>
      </c>
      <c r="J1633" s="13">
        <v>0</v>
      </c>
      <c r="K1633" s="14" t="str">
        <f>HYPERLINK("https://buffer.com","Buffer")</f>
        <v>Buffer</v>
      </c>
      <c r="L1633" s="13">
        <v>8608</v>
      </c>
      <c r="M1633" s="13">
        <v>1423</v>
      </c>
      <c r="N1633" s="13">
        <v>134</v>
      </c>
      <c r="O1633" s="15"/>
      <c r="P1633" s="6">
        <v>41200.829687500001</v>
      </c>
      <c r="Q1633" s="18" t="s">
        <v>3108</v>
      </c>
      <c r="R1633" s="19" t="s">
        <v>3109</v>
      </c>
      <c r="S1633" s="12" t="s">
        <v>3110</v>
      </c>
      <c r="T1633" s="11"/>
      <c r="U1633" s="10" t="str">
        <f>HYPERLINK("https://pbs.twimg.com/profile_images/978940959617617922/UqYGk2Wc.jpg","View")</f>
        <v>View</v>
      </c>
    </row>
    <row r="1634" spans="1:21" ht="20.399999999999999">
      <c r="A1634" s="6">
        <v>43441.392187500001</v>
      </c>
      <c r="B1634" s="7" t="str">
        <f>HYPERLINK("https://twitter.com/megustasaborear","@megustasaborear")</f>
        <v>@megustasaborear</v>
      </c>
      <c r="C1634" s="8" t="s">
        <v>3234</v>
      </c>
      <c r="D1634" s="9" t="s">
        <v>3235</v>
      </c>
      <c r="E1634" s="10" t="str">
        <f>HYPERLINK("https://twitter.com/megustasaborear/status/1070957270563999744","1070957270563999744")</f>
        <v>1070957270563999744</v>
      </c>
      <c r="F1634" s="12" t="s">
        <v>3237</v>
      </c>
      <c r="G1634" s="11"/>
      <c r="H1634" s="11"/>
      <c r="I1634" s="13">
        <v>0</v>
      </c>
      <c r="J1634" s="13">
        <v>1</v>
      </c>
      <c r="K1634" s="14" t="str">
        <f t="shared" ref="K1634:K1635" si="282">HYPERLINK("http://twitter.com/download/android","Twitter for Android")</f>
        <v>Twitter for Android</v>
      </c>
      <c r="L1634" s="13">
        <v>47</v>
      </c>
      <c r="M1634" s="13">
        <v>213</v>
      </c>
      <c r="N1634" s="13">
        <v>3</v>
      </c>
      <c r="O1634" s="15"/>
      <c r="P1634" s="6">
        <v>42463.80133101852</v>
      </c>
      <c r="Q1634" s="18" t="s">
        <v>3239</v>
      </c>
      <c r="R1634" s="19" t="s">
        <v>3240</v>
      </c>
      <c r="S1634" s="11"/>
      <c r="T1634" s="11"/>
      <c r="U1634" s="10" t="str">
        <f>HYPERLINK("https://pbs.twimg.com/profile_images/716676217240469504/GwafsnG3.jpg","View")</f>
        <v>View</v>
      </c>
    </row>
    <row r="1635" spans="1:21" ht="51">
      <c r="A1635" s="6">
        <v>43441.392106481479</v>
      </c>
      <c r="B1635" s="7" t="str">
        <f>HYPERLINK("https://twitter.com/OrbitaEduardo","@OrbitaEduardo")</f>
        <v>@OrbitaEduardo</v>
      </c>
      <c r="C1635" s="8" t="s">
        <v>930</v>
      </c>
      <c r="D1635" s="9" t="s">
        <v>6385</v>
      </c>
      <c r="E1635" s="10" t="str">
        <f>HYPERLINK("https://twitter.com/OrbitaEduardo/status/1070957239891054593","1070957239891054593")</f>
        <v>1070957239891054593</v>
      </c>
      <c r="F1635" s="11"/>
      <c r="G1635" s="12" t="s">
        <v>6386</v>
      </c>
      <c r="H1635" s="11"/>
      <c r="I1635" s="13">
        <v>47</v>
      </c>
      <c r="J1635" s="13">
        <v>46</v>
      </c>
      <c r="K1635" s="14" t="str">
        <f t="shared" si="282"/>
        <v>Twitter for Android</v>
      </c>
      <c r="L1635" s="13">
        <v>4523</v>
      </c>
      <c r="M1635" s="13">
        <v>4948</v>
      </c>
      <c r="N1635" s="13">
        <v>13</v>
      </c>
      <c r="O1635" s="15"/>
      <c r="P1635" s="6">
        <v>43110.374305555553</v>
      </c>
      <c r="Q1635" s="18" t="s">
        <v>260</v>
      </c>
      <c r="R1635" s="19" t="s">
        <v>935</v>
      </c>
      <c r="S1635" s="11"/>
      <c r="T1635" s="11"/>
      <c r="U1635" s="10" t="str">
        <f>HYPERLINK("https://pbs.twimg.com/profile_images/1034013666600001538/MmqVJqFc.jpg","View")</f>
        <v>View</v>
      </c>
    </row>
    <row r="1636" spans="1:21" ht="102">
      <c r="A1636" s="6">
        <v>43441.391932870371</v>
      </c>
      <c r="B1636" s="7" t="str">
        <f>HYPERLINK("https://twitter.com/espainiakobeldu","@espainiakobeldu")</f>
        <v>@espainiakobeldu</v>
      </c>
      <c r="C1636" s="8" t="s">
        <v>3242</v>
      </c>
      <c r="D1636" s="9" t="s">
        <v>3243</v>
      </c>
      <c r="E1636" s="10" t="str">
        <f>HYPERLINK("https://twitter.com/espainiakobeldu/status/1070957177895088128","1070957177895088128")</f>
        <v>1070957177895088128</v>
      </c>
      <c r="F1636" s="12" t="s">
        <v>3244</v>
      </c>
      <c r="G1636" s="12" t="s">
        <v>2604</v>
      </c>
      <c r="H1636" s="11"/>
      <c r="I1636" s="13">
        <v>2</v>
      </c>
      <c r="J1636" s="13">
        <v>3</v>
      </c>
      <c r="K1636" s="14" t="str">
        <f>HYPERLINK("http://twitter.com/download/iphone","Twitter for iPhone")</f>
        <v>Twitter for iPhone</v>
      </c>
      <c r="L1636" s="13">
        <v>478</v>
      </c>
      <c r="M1636" s="13">
        <v>876</v>
      </c>
      <c r="N1636" s="13">
        <v>0</v>
      </c>
      <c r="O1636" s="15"/>
      <c r="P1636" s="6">
        <v>43338.070520833338</v>
      </c>
      <c r="Q1636" s="18" t="s">
        <v>42</v>
      </c>
      <c r="R1636" s="19" t="s">
        <v>3247</v>
      </c>
      <c r="S1636" s="11"/>
      <c r="T1636" s="11"/>
      <c r="U1636" s="10" t="str">
        <f>HYPERLINK("https://pbs.twimg.com/profile_images/1034820060966281217/hzUW9nV0.jpg","View")</f>
        <v>View</v>
      </c>
    </row>
    <row r="1637" spans="1:21" ht="20.399999999999999">
      <c r="A1637" s="6">
        <v>43441.391805555555</v>
      </c>
      <c r="B1637" s="7" t="str">
        <f>HYPERLINK("https://twitter.com/Violeta733","@Violeta733")</f>
        <v>@Violeta733</v>
      </c>
      <c r="C1637" s="8" t="s">
        <v>6387</v>
      </c>
      <c r="D1637" s="9" t="s">
        <v>39</v>
      </c>
      <c r="E1637" s="10" t="str">
        <f>HYPERLINK("https://twitter.com/Violeta733/status/1070957130868514816","1070957130868514816")</f>
        <v>1070957130868514816</v>
      </c>
      <c r="F1637" s="12" t="s">
        <v>40</v>
      </c>
      <c r="G1637" s="11"/>
      <c r="H1637" s="11"/>
      <c r="I1637" s="13">
        <v>0</v>
      </c>
      <c r="J1637" s="13">
        <v>0</v>
      </c>
      <c r="K1637" s="14" t="str">
        <f>HYPERLINK("http://twitter.com/download/android","Twitter for Android")</f>
        <v>Twitter for Android</v>
      </c>
      <c r="L1637" s="13">
        <v>314</v>
      </c>
      <c r="M1637" s="13">
        <v>483</v>
      </c>
      <c r="N1637" s="13">
        <v>0</v>
      </c>
      <c r="O1637" s="15"/>
      <c r="P1637" s="6">
        <v>43109.932916666672</v>
      </c>
      <c r="Q1637" s="18" t="s">
        <v>6388</v>
      </c>
      <c r="R1637" s="19" t="s">
        <v>6389</v>
      </c>
      <c r="S1637" s="11"/>
      <c r="T1637" s="11"/>
      <c r="U1637" s="10" t="str">
        <f>HYPERLINK("https://pbs.twimg.com/profile_images/1005025877841805312/m_cqe1t1.jpg","View")</f>
        <v>View</v>
      </c>
    </row>
    <row r="1638" spans="1:21" ht="61.2">
      <c r="A1638" s="6">
        <v>43441.391782407409</v>
      </c>
      <c r="B1638" s="7" t="str">
        <f>HYPERLINK("https://twitter.com/mutenroch","@mutenroch")</f>
        <v>@mutenroch</v>
      </c>
      <c r="C1638" s="8" t="s">
        <v>3248</v>
      </c>
      <c r="D1638" s="9" t="s">
        <v>3249</v>
      </c>
      <c r="E1638" s="10" t="str">
        <f>HYPERLINK("https://twitter.com/mutenroch/status/1070957123201323008","1070957123201323008")</f>
        <v>1070957123201323008</v>
      </c>
      <c r="F1638" s="12" t="s">
        <v>3251</v>
      </c>
      <c r="G1638" s="12" t="s">
        <v>3252</v>
      </c>
      <c r="H1638" s="11"/>
      <c r="I1638" s="13">
        <v>0</v>
      </c>
      <c r="J1638" s="13">
        <v>0</v>
      </c>
      <c r="K1638" s="14" t="str">
        <f>HYPERLINK("http://twitter.com/download/iphone","Twitter for iPhone")</f>
        <v>Twitter for iPhone</v>
      </c>
      <c r="L1638" s="13">
        <v>195</v>
      </c>
      <c r="M1638" s="13">
        <v>584</v>
      </c>
      <c r="N1638" s="13">
        <v>2</v>
      </c>
      <c r="O1638" s="15"/>
      <c r="P1638" s="6">
        <v>40572.650694444441</v>
      </c>
      <c r="Q1638" s="11"/>
      <c r="R1638" s="19" t="s">
        <v>3253</v>
      </c>
      <c r="S1638" s="11"/>
      <c r="T1638" s="11"/>
      <c r="U1638" s="10" t="str">
        <f>HYPERLINK("https://pbs.twimg.com/profile_images/899642665234509825/ApsbxdSH.jpg","View")</f>
        <v>View</v>
      </c>
    </row>
    <row r="1639" spans="1:21" ht="30.6">
      <c r="A1639" s="6">
        <v>43441.391099537039</v>
      </c>
      <c r="B1639" s="7" t="str">
        <f>HYPERLINK("https://twitter.com/laci_beles","@laci_beles")</f>
        <v>@laci_beles</v>
      </c>
      <c r="C1639" s="8" t="s">
        <v>603</v>
      </c>
      <c r="D1639" s="9" t="s">
        <v>1532</v>
      </c>
      <c r="E1639" s="10" t="str">
        <f>HYPERLINK("https://twitter.com/laci_beles/status/1070956875418619904","1070956875418619904")</f>
        <v>1070956875418619904</v>
      </c>
      <c r="F1639" s="11"/>
      <c r="G1639" s="11"/>
      <c r="H1639" s="11"/>
      <c r="I1639" s="13">
        <v>2</v>
      </c>
      <c r="J1639" s="13">
        <v>2</v>
      </c>
      <c r="K1639" s="14" t="str">
        <f>HYPERLINK("http://twitter.com/download/android","Twitter for Android")</f>
        <v>Twitter for Android</v>
      </c>
      <c r="L1639" s="13">
        <v>540</v>
      </c>
      <c r="M1639" s="13">
        <v>890</v>
      </c>
      <c r="N1639" s="13">
        <v>2</v>
      </c>
      <c r="O1639" s="15"/>
      <c r="P1639" s="6">
        <v>42817.388101851851</v>
      </c>
      <c r="Q1639" s="18" t="s">
        <v>173</v>
      </c>
      <c r="R1639" s="19" t="s">
        <v>605</v>
      </c>
      <c r="S1639" s="11"/>
      <c r="T1639" s="11"/>
      <c r="U1639" s="10" t="str">
        <f>HYPERLINK("https://pbs.twimg.com/profile_images/844828880670109697/lYgsG08o.jpg","View")</f>
        <v>View</v>
      </c>
    </row>
    <row r="1640" spans="1:21" ht="20.399999999999999">
      <c r="A1640" s="6">
        <v>43441.390185185184</v>
      </c>
      <c r="B1640" s="7" t="str">
        <f>HYPERLINK("https://twitter.com/TeresaGS26","@TeresaGS26")</f>
        <v>@TeresaGS26</v>
      </c>
      <c r="C1640" s="8" t="s">
        <v>6390</v>
      </c>
      <c r="D1640" s="9" t="s">
        <v>5579</v>
      </c>
      <c r="E1640" s="10" t="str">
        <f>HYPERLINK("https://twitter.com/TeresaGS26/status/1070956544118935552","1070956544118935552")</f>
        <v>1070956544118935552</v>
      </c>
      <c r="F1640" s="12" t="s">
        <v>6391</v>
      </c>
      <c r="G1640" s="11"/>
      <c r="H1640" s="11"/>
      <c r="I1640" s="13">
        <v>0</v>
      </c>
      <c r="J1640" s="13">
        <v>0</v>
      </c>
      <c r="K1640" s="14" t="str">
        <f>HYPERLINK("http://twitter.com/download/iphone","Twitter for iPhone")</f>
        <v>Twitter for iPhone</v>
      </c>
      <c r="L1640" s="13">
        <v>843</v>
      </c>
      <c r="M1640" s="13">
        <v>1019</v>
      </c>
      <c r="N1640" s="13">
        <v>18</v>
      </c>
      <c r="O1640" s="15"/>
      <c r="P1640" s="6">
        <v>42241.614548611113</v>
      </c>
      <c r="Q1640" s="11"/>
      <c r="R1640" s="19" t="s">
        <v>6392</v>
      </c>
      <c r="S1640" s="11"/>
      <c r="T1640" s="11"/>
      <c r="U1640" s="10" t="str">
        <f>HYPERLINK("https://pbs.twimg.com/profile_images/636159808249446400/2J9thX4B.jpg","View")</f>
        <v>View</v>
      </c>
    </row>
    <row r="1641" spans="1:21" ht="51">
      <c r="A1641" s="6">
        <v>43441.390034722222</v>
      </c>
      <c r="B1641" s="7" t="str">
        <f>HYPERLINK("https://twitter.com/ElFeminista1","@ElFeminista1")</f>
        <v>@ElFeminista1</v>
      </c>
      <c r="C1641" s="8" t="s">
        <v>3254</v>
      </c>
      <c r="D1641" s="9" t="s">
        <v>3255</v>
      </c>
      <c r="E1641" s="10" t="str">
        <f>HYPERLINK("https://twitter.com/ElFeminista1/status/1070956489139990530","1070956489139990530")</f>
        <v>1070956489139990530</v>
      </c>
      <c r="F1641" s="11"/>
      <c r="G1641" s="11"/>
      <c r="H1641" s="11"/>
      <c r="I1641" s="13">
        <v>0</v>
      </c>
      <c r="J1641" s="13">
        <v>0</v>
      </c>
      <c r="K1641" s="14" t="str">
        <f>HYPERLINK("http://twitter.com/download/android","Twitter for Android")</f>
        <v>Twitter for Android</v>
      </c>
      <c r="L1641" s="13">
        <v>85</v>
      </c>
      <c r="M1641" s="13">
        <v>422</v>
      </c>
      <c r="N1641" s="13">
        <v>0</v>
      </c>
      <c r="O1641" s="15"/>
      <c r="P1641" s="6">
        <v>43272.835555555561</v>
      </c>
      <c r="Q1641" s="11"/>
      <c r="R1641" s="19" t="s">
        <v>3256</v>
      </c>
      <c r="S1641" s="11"/>
      <c r="T1641" s="11"/>
      <c r="U1641" s="10" t="str">
        <f>HYPERLINK("https://pbs.twimg.com/profile_images/1009860437729595402/mu720TND.jpg","View")</f>
        <v>View</v>
      </c>
    </row>
    <row r="1642" spans="1:21" ht="30.6">
      <c r="A1642" s="6">
        <v>43441.389814814815</v>
      </c>
      <c r="B1642" s="7" t="str">
        <f>HYPERLINK("https://twitter.com/gaab75","@gaab75")</f>
        <v>@gaab75</v>
      </c>
      <c r="C1642" s="8" t="s">
        <v>4710</v>
      </c>
      <c r="D1642" s="9" t="s">
        <v>6393</v>
      </c>
      <c r="E1642" s="10" t="str">
        <f>HYPERLINK("https://twitter.com/gaab75/status/1070956409578315776","1070956409578315776")</f>
        <v>1070956409578315776</v>
      </c>
      <c r="F1642" s="11"/>
      <c r="G1642" s="11"/>
      <c r="H1642" s="11"/>
      <c r="I1642" s="13">
        <v>0</v>
      </c>
      <c r="J1642" s="13">
        <v>0</v>
      </c>
      <c r="K1642" s="14" t="str">
        <f>HYPERLINK("http://twitter.com","Twitter Web Client")</f>
        <v>Twitter Web Client</v>
      </c>
      <c r="L1642" s="13">
        <v>3602</v>
      </c>
      <c r="M1642" s="13">
        <v>1550</v>
      </c>
      <c r="N1642" s="13">
        <v>98</v>
      </c>
      <c r="O1642" s="15"/>
      <c r="P1642" s="6">
        <v>40128.955196759256</v>
      </c>
      <c r="Q1642" s="18" t="s">
        <v>885</v>
      </c>
      <c r="R1642" s="19" t="s">
        <v>4712</v>
      </c>
      <c r="S1642" s="12" t="s">
        <v>4713</v>
      </c>
      <c r="T1642" s="11"/>
      <c r="U1642" s="10" t="str">
        <f>HYPERLINK("https://pbs.twimg.com/profile_images/958087622638948354/Nn7-v7sP.jpg","View")</f>
        <v>View</v>
      </c>
    </row>
    <row r="1643" spans="1:21" ht="51">
      <c r="A1643" s="6">
        <v>43441.388206018513</v>
      </c>
      <c r="B1643" s="7" t="str">
        <f>HYPERLINK("https://twitter.com/EpicuroXXVI","@EpicuroXXVI")</f>
        <v>@EpicuroXXVI</v>
      </c>
      <c r="C1643" s="8" t="s">
        <v>886</v>
      </c>
      <c r="D1643" s="9" t="s">
        <v>3257</v>
      </c>
      <c r="E1643" s="10" t="str">
        <f>HYPERLINK("https://twitter.com/EpicuroXXVI/status/1070955830177091584","1070955830177091584")</f>
        <v>1070955830177091584</v>
      </c>
      <c r="F1643" s="12" t="s">
        <v>3258</v>
      </c>
      <c r="G1643" s="11"/>
      <c r="H1643" s="11"/>
      <c r="I1643" s="13">
        <v>1</v>
      </c>
      <c r="J1643" s="13">
        <v>0</v>
      </c>
      <c r="K1643" s="14" t="str">
        <f t="shared" ref="K1643:K1644" si="283">HYPERLINK("http://twitter.com/download/iphone","Twitter for iPhone")</f>
        <v>Twitter for iPhone</v>
      </c>
      <c r="L1643" s="13">
        <v>940</v>
      </c>
      <c r="M1643" s="13">
        <v>1903</v>
      </c>
      <c r="N1643" s="13">
        <v>0</v>
      </c>
      <c r="O1643" s="15"/>
      <c r="P1643" s="6">
        <v>43344.816296296296</v>
      </c>
      <c r="Q1643" s="18" t="s">
        <v>885</v>
      </c>
      <c r="R1643" s="19" t="s">
        <v>891</v>
      </c>
      <c r="S1643" s="11"/>
      <c r="T1643" s="11"/>
      <c r="U1643" s="10" t="str">
        <f>HYPERLINK("https://pbs.twimg.com/profile_images/1035944667647492096/-ivAsDZB.jpg","View")</f>
        <v>View</v>
      </c>
    </row>
    <row r="1644" spans="1:21" ht="30.6">
      <c r="A1644" s="6">
        <v>43441.38795138889</v>
      </c>
      <c r="B1644" s="7" t="str">
        <f>HYPERLINK("https://twitter.com/guerra_canti","@guerra_canti")</f>
        <v>@guerra_canti</v>
      </c>
      <c r="C1644" s="8" t="s">
        <v>3263</v>
      </c>
      <c r="D1644" s="9" t="s">
        <v>3264</v>
      </c>
      <c r="E1644" s="10" t="str">
        <f>HYPERLINK("https://twitter.com/guerra_canti/status/1070955736354775040","1070955736354775040")</f>
        <v>1070955736354775040</v>
      </c>
      <c r="F1644" s="11"/>
      <c r="G1644" s="11"/>
      <c r="H1644" s="11"/>
      <c r="I1644" s="13">
        <v>2</v>
      </c>
      <c r="J1644" s="13">
        <v>3</v>
      </c>
      <c r="K1644" s="14" t="str">
        <f t="shared" si="283"/>
        <v>Twitter for iPhone</v>
      </c>
      <c r="L1644" s="13">
        <v>365</v>
      </c>
      <c r="M1644" s="13">
        <v>477</v>
      </c>
      <c r="N1644" s="13">
        <v>0</v>
      </c>
      <c r="O1644" s="15"/>
      <c r="P1644" s="6">
        <v>40575.927245370374</v>
      </c>
      <c r="Q1644" s="18" t="s">
        <v>3265</v>
      </c>
      <c r="R1644" s="19" t="s">
        <v>3266</v>
      </c>
      <c r="S1644" s="11"/>
      <c r="T1644" s="11"/>
      <c r="U1644" s="10" t="str">
        <f>HYPERLINK("https://pbs.twimg.com/profile_images/820733674115186692/snxX_4JR.jpg","View")</f>
        <v>View</v>
      </c>
    </row>
    <row r="1645" spans="1:21" ht="40.799999999999997">
      <c r="A1645" s="6">
        <v>43441.387916666667</v>
      </c>
      <c r="B1645" s="7" t="str">
        <f>HYPERLINK("https://twitter.com/malaquita65","@malaquita65")</f>
        <v>@malaquita65</v>
      </c>
      <c r="C1645" s="8" t="s">
        <v>6394</v>
      </c>
      <c r="D1645" s="9" t="s">
        <v>6395</v>
      </c>
      <c r="E1645" s="10" t="str">
        <f>HYPERLINK("https://twitter.com/malaquita65/status/1070955725411811328","1070955725411811328")</f>
        <v>1070955725411811328</v>
      </c>
      <c r="F1645" s="12" t="s">
        <v>40</v>
      </c>
      <c r="G1645" s="11"/>
      <c r="H1645" s="11"/>
      <c r="I1645" s="13">
        <v>2</v>
      </c>
      <c r="J1645" s="13">
        <v>3</v>
      </c>
      <c r="K1645" s="14" t="str">
        <f>HYPERLINK("http://twitter.com/download/android","Twitter for Android")</f>
        <v>Twitter for Android</v>
      </c>
      <c r="L1645" s="13">
        <v>6012</v>
      </c>
      <c r="M1645" s="13">
        <v>4309</v>
      </c>
      <c r="N1645" s="13">
        <v>91</v>
      </c>
      <c r="O1645" s="15"/>
      <c r="P1645" s="6">
        <v>40784.585601851853</v>
      </c>
      <c r="Q1645" s="18" t="s">
        <v>3326</v>
      </c>
      <c r="R1645" s="19" t="s">
        <v>6396</v>
      </c>
      <c r="S1645" s="11"/>
      <c r="T1645" s="11"/>
      <c r="U1645" s="10" t="str">
        <f>HYPERLINK("https://pbs.twimg.com/profile_images/1063529926433939459/IfX_aAx1.jpg","View")</f>
        <v>View</v>
      </c>
    </row>
    <row r="1646" spans="1:21" ht="20.399999999999999">
      <c r="A1646" s="6">
        <v>43441.386944444443</v>
      </c>
      <c r="B1646" s="7" t="str">
        <f>HYPERLINK("https://twitter.com/idpajares1974","@idpajares1974")</f>
        <v>@idpajares1974</v>
      </c>
      <c r="C1646" s="8" t="s">
        <v>5748</v>
      </c>
      <c r="D1646" s="9" t="s">
        <v>5901</v>
      </c>
      <c r="E1646" s="10" t="str">
        <f>HYPERLINK("https://twitter.com/idpajares1974/status/1070955370141634560","1070955370141634560")</f>
        <v>1070955370141634560</v>
      </c>
      <c r="F1646" s="12" t="s">
        <v>5842</v>
      </c>
      <c r="G1646" s="11"/>
      <c r="H1646" s="11"/>
      <c r="I1646" s="13">
        <v>0</v>
      </c>
      <c r="J1646" s="13">
        <v>0</v>
      </c>
      <c r="K1646" s="14" t="str">
        <f>HYPERLINK("http://twitter.com","Twitter Web Client")</f>
        <v>Twitter Web Client</v>
      </c>
      <c r="L1646" s="13">
        <v>178</v>
      </c>
      <c r="M1646" s="13">
        <v>406</v>
      </c>
      <c r="N1646" s="13">
        <v>8</v>
      </c>
      <c r="O1646" s="15"/>
      <c r="P1646" s="6">
        <v>40623.486261574071</v>
      </c>
      <c r="Q1646" s="18" t="s">
        <v>42</v>
      </c>
      <c r="R1646" s="19" t="s">
        <v>5751</v>
      </c>
      <c r="S1646" s="11"/>
      <c r="T1646" s="11"/>
      <c r="U1646" s="10" t="str">
        <f>HYPERLINK("https://pbs.twimg.com/profile_images/1069169554788622336/2K2S2m-H.jpg","View")</f>
        <v>View</v>
      </c>
    </row>
    <row r="1647" spans="1:21" ht="51">
      <c r="A1647" s="6">
        <v>43441.386863425927</v>
      </c>
      <c r="B1647" s="7" t="str">
        <f>HYPERLINK("https://twitter.com/RosaRodaNews","@RosaRodaNews")</f>
        <v>@RosaRodaNews</v>
      </c>
      <c r="C1647" s="8" t="s">
        <v>3269</v>
      </c>
      <c r="D1647" s="9" t="s">
        <v>3270</v>
      </c>
      <c r="E1647" s="10" t="str">
        <f>HYPERLINK("https://twitter.com/RosaRodaNews/status/1070955340659867648","1070955340659867648")</f>
        <v>1070955340659867648</v>
      </c>
      <c r="F1647" s="11"/>
      <c r="G1647" s="11"/>
      <c r="H1647" s="11"/>
      <c r="I1647" s="13">
        <v>40</v>
      </c>
      <c r="J1647" s="13">
        <v>115</v>
      </c>
      <c r="K1647" s="14" t="str">
        <f t="shared" ref="K1647:K1649" si="284">HYPERLINK("http://twitter.com/download/iphone","Twitter for iPhone")</f>
        <v>Twitter for iPhone</v>
      </c>
      <c r="L1647" s="13">
        <v>5723</v>
      </c>
      <c r="M1647" s="13">
        <v>1622</v>
      </c>
      <c r="N1647" s="13">
        <v>134</v>
      </c>
      <c r="O1647" s="15"/>
      <c r="P1647" s="6">
        <v>41016.436041666668</v>
      </c>
      <c r="Q1647" s="18" t="s">
        <v>3273</v>
      </c>
      <c r="R1647" s="19" t="s">
        <v>3274</v>
      </c>
      <c r="S1647" s="11"/>
      <c r="T1647" s="11"/>
      <c r="U1647" s="10" t="str">
        <f>HYPERLINK("https://pbs.twimg.com/profile_images/2167319067/images.jpeg","View")</f>
        <v>View</v>
      </c>
    </row>
    <row r="1648" spans="1:21" ht="51">
      <c r="A1648" s="6">
        <v>43441.38590277778</v>
      </c>
      <c r="B1648" s="7" t="str">
        <f>HYPERLINK("https://twitter.com/La_Maritrini","@La_Maritrini")</f>
        <v>@La_Maritrini</v>
      </c>
      <c r="C1648" s="8" t="s">
        <v>6397</v>
      </c>
      <c r="D1648" s="9" t="s">
        <v>6398</v>
      </c>
      <c r="E1648" s="10" t="str">
        <f>HYPERLINK("https://twitter.com/La_Maritrini/status/1070954994180997121","1070954994180997121")</f>
        <v>1070954994180997121</v>
      </c>
      <c r="F1648" s="11"/>
      <c r="G1648" s="11"/>
      <c r="H1648" s="11"/>
      <c r="I1648" s="13">
        <v>5</v>
      </c>
      <c r="J1648" s="13">
        <v>5</v>
      </c>
      <c r="K1648" s="14" t="str">
        <f t="shared" si="284"/>
        <v>Twitter for iPhone</v>
      </c>
      <c r="L1648" s="13">
        <v>3814</v>
      </c>
      <c r="M1648" s="13">
        <v>396</v>
      </c>
      <c r="N1648" s="13">
        <v>84</v>
      </c>
      <c r="O1648" s="15"/>
      <c r="P1648" s="6">
        <v>40638.954074074078</v>
      </c>
      <c r="Q1648" s="11"/>
      <c r="R1648" s="19" t="s">
        <v>6399</v>
      </c>
      <c r="S1648" s="11"/>
      <c r="T1648" s="11"/>
      <c r="U1648" s="10" t="str">
        <f>HYPERLINK("https://pbs.twimg.com/profile_images/926090195740581888/1iBX0Ihg.jpg","View")</f>
        <v>View</v>
      </c>
    </row>
    <row r="1649" spans="1:21" ht="40.799999999999997">
      <c r="A1649" s="6">
        <v>43441.385289351849</v>
      </c>
      <c r="B1649" s="7" t="str">
        <f>HYPERLINK("https://twitter.com/hispano_romano","@hispano_romano")</f>
        <v>@hispano_romano</v>
      </c>
      <c r="C1649" s="8" t="s">
        <v>3277</v>
      </c>
      <c r="D1649" s="9" t="s">
        <v>3279</v>
      </c>
      <c r="E1649" s="10" t="str">
        <f>HYPERLINK("https://twitter.com/hispano_romano/status/1070954769169215488","1070954769169215488")</f>
        <v>1070954769169215488</v>
      </c>
      <c r="F1649" s="12" t="s">
        <v>3281</v>
      </c>
      <c r="G1649" s="12" t="s">
        <v>3282</v>
      </c>
      <c r="H1649" s="11"/>
      <c r="I1649" s="13">
        <v>2</v>
      </c>
      <c r="J1649" s="13">
        <v>1</v>
      </c>
      <c r="K1649" s="14" t="str">
        <f t="shared" si="284"/>
        <v>Twitter for iPhone</v>
      </c>
      <c r="L1649" s="13">
        <v>2136</v>
      </c>
      <c r="M1649" s="13">
        <v>3914</v>
      </c>
      <c r="N1649" s="13">
        <v>2</v>
      </c>
      <c r="O1649" s="15"/>
      <c r="P1649" s="6">
        <v>43030.926388888889</v>
      </c>
      <c r="Q1649" s="18" t="s">
        <v>2020</v>
      </c>
      <c r="R1649" s="19" t="s">
        <v>3283</v>
      </c>
      <c r="S1649" s="11"/>
      <c r="T1649" s="11"/>
      <c r="U1649" s="10" t="str">
        <f>HYPERLINK("https://pbs.twimg.com/profile_images/922197291888496640/YXOwJwvg.jpg","View")</f>
        <v>View</v>
      </c>
    </row>
    <row r="1650" spans="1:21" ht="40.799999999999997">
      <c r="A1650" s="6">
        <v>43441.384525462963</v>
      </c>
      <c r="B1650" s="7" t="str">
        <f>HYPERLINK("https://twitter.com/brubeaker","@brubeaker")</f>
        <v>@brubeaker</v>
      </c>
      <c r="C1650" s="8" t="s">
        <v>6235</v>
      </c>
      <c r="D1650" s="9" t="s">
        <v>6400</v>
      </c>
      <c r="E1650" s="10" t="str">
        <f>HYPERLINK("https://twitter.com/brubeaker/status/1070954493607596032","1070954493607596032")</f>
        <v>1070954493607596032</v>
      </c>
      <c r="F1650" s="11"/>
      <c r="G1650" s="11"/>
      <c r="H1650" s="11"/>
      <c r="I1650" s="13">
        <v>0</v>
      </c>
      <c r="J1650" s="13">
        <v>0</v>
      </c>
      <c r="K1650" s="14" t="str">
        <f t="shared" ref="K1650:K1651" si="285">HYPERLINK("http://twitter.com","Twitter Web Client")</f>
        <v>Twitter Web Client</v>
      </c>
      <c r="L1650" s="13">
        <v>38</v>
      </c>
      <c r="M1650" s="13">
        <v>164</v>
      </c>
      <c r="N1650" s="13">
        <v>2</v>
      </c>
      <c r="O1650" s="15"/>
      <c r="P1650" s="6">
        <v>41780.336550925924</v>
      </c>
      <c r="Q1650" s="11"/>
      <c r="R1650" s="19" t="s">
        <v>6237</v>
      </c>
      <c r="S1650" s="11"/>
      <c r="T1650" s="11"/>
      <c r="U1650" s="10" t="str">
        <f>HYPERLINK("https://pbs.twimg.com/profile_images/1036025081179332608/VWYH9QdS.jpg","View")</f>
        <v>View</v>
      </c>
    </row>
    <row r="1651" spans="1:21" ht="51">
      <c r="A1651" s="6">
        <v>43441.384085648147</v>
      </c>
      <c r="B1651" s="7" t="str">
        <f>HYPERLINK("https://twitter.com/JagValdezate","@JagValdezate")</f>
        <v>@JagValdezate</v>
      </c>
      <c r="C1651" s="8" t="s">
        <v>3284</v>
      </c>
      <c r="D1651" s="9" t="s">
        <v>3285</v>
      </c>
      <c r="E1651" s="10" t="str">
        <f>HYPERLINK("https://twitter.com/JagValdezate/status/1070954335394254848","1070954335394254848")</f>
        <v>1070954335394254848</v>
      </c>
      <c r="F1651" s="11"/>
      <c r="G1651" s="12" t="s">
        <v>3286</v>
      </c>
      <c r="H1651" s="11"/>
      <c r="I1651" s="13">
        <v>0</v>
      </c>
      <c r="J1651" s="13">
        <v>0</v>
      </c>
      <c r="K1651" s="14" t="str">
        <f t="shared" si="285"/>
        <v>Twitter Web Client</v>
      </c>
      <c r="L1651" s="13">
        <v>3708</v>
      </c>
      <c r="M1651" s="13">
        <v>3797</v>
      </c>
      <c r="N1651" s="13">
        <v>25</v>
      </c>
      <c r="O1651" s="15"/>
      <c r="P1651" s="6">
        <v>40377.709814814814</v>
      </c>
      <c r="Q1651" s="18" t="s">
        <v>307</v>
      </c>
      <c r="R1651" s="19" t="s">
        <v>3289</v>
      </c>
      <c r="S1651" s="12" t="s">
        <v>3290</v>
      </c>
      <c r="T1651" s="11"/>
      <c r="U1651" s="10" t="str">
        <f>HYPERLINK("https://pbs.twimg.com/profile_images/446611538606964736/S6EfMdkM.jpeg","View")</f>
        <v>View</v>
      </c>
    </row>
    <row r="1652" spans="1:21" ht="20.399999999999999">
      <c r="A1652" s="6">
        <v>43441.38344907407</v>
      </c>
      <c r="B1652" s="7" t="str">
        <f>HYPERLINK("https://twitter.com/PolitikeoES","@PolitikeoES")</f>
        <v>@PolitikeoES</v>
      </c>
      <c r="C1652" s="8" t="s">
        <v>6401</v>
      </c>
      <c r="D1652" s="9" t="s">
        <v>2879</v>
      </c>
      <c r="E1652" s="10" t="str">
        <f>HYPERLINK("https://twitter.com/PolitikeoES/status/1070954106225942528","1070954106225942528")</f>
        <v>1070954106225942528</v>
      </c>
      <c r="F1652" s="12" t="s">
        <v>6402</v>
      </c>
      <c r="G1652" s="11"/>
      <c r="H1652" s="11"/>
      <c r="I1652" s="13">
        <v>0</v>
      </c>
      <c r="J1652" s="13">
        <v>0</v>
      </c>
      <c r="K1652" s="14" t="str">
        <f>HYPERLINK("http://www.crowdfireapp.com","Crowdfire - Go Big")</f>
        <v>Crowdfire - Go Big</v>
      </c>
      <c r="L1652" s="13">
        <v>184</v>
      </c>
      <c r="M1652" s="13">
        <v>957</v>
      </c>
      <c r="N1652" s="13">
        <v>1</v>
      </c>
      <c r="O1652" s="15"/>
      <c r="P1652" s="6">
        <v>42924.475428240738</v>
      </c>
      <c r="Q1652" s="18" t="s">
        <v>100</v>
      </c>
      <c r="R1652" s="17"/>
      <c r="S1652" s="11"/>
      <c r="T1652" s="11"/>
      <c r="U1652" s="10" t="str">
        <f>HYPERLINK("https://pbs.twimg.com/profile_images/883788961797332993/ybgZOSdb.jpg","View")</f>
        <v>View</v>
      </c>
    </row>
    <row r="1653" spans="1:21" ht="51">
      <c r="A1653" s="6">
        <v>43441.383333333331</v>
      </c>
      <c r="B1653" s="7" t="str">
        <f>HYPERLINK("https://twitter.com/CurroTroya","@CurroTroya")</f>
        <v>@CurroTroya</v>
      </c>
      <c r="C1653" s="8" t="s">
        <v>3294</v>
      </c>
      <c r="D1653" s="9" t="s">
        <v>3295</v>
      </c>
      <c r="E1653" s="10" t="str">
        <f>HYPERLINK("https://twitter.com/CurroTroya/status/1070954061669707781","1070954061669707781")</f>
        <v>1070954061669707781</v>
      </c>
      <c r="F1653" s="12" t="s">
        <v>1187</v>
      </c>
      <c r="G1653" s="11"/>
      <c r="H1653" s="11"/>
      <c r="I1653" s="13">
        <v>3</v>
      </c>
      <c r="J1653" s="13">
        <v>4</v>
      </c>
      <c r="K1653" s="14" t="str">
        <f>HYPERLINK("https://about.twitter.com/products/tweetdeck","TweetDeck")</f>
        <v>TweetDeck</v>
      </c>
      <c r="L1653" s="13">
        <v>15192</v>
      </c>
      <c r="M1653" s="13">
        <v>6480</v>
      </c>
      <c r="N1653" s="13">
        <v>479</v>
      </c>
      <c r="O1653" s="15"/>
      <c r="P1653" s="6">
        <v>39989.777754629627</v>
      </c>
      <c r="Q1653" s="18" t="s">
        <v>192</v>
      </c>
      <c r="R1653" s="19" t="s">
        <v>3296</v>
      </c>
      <c r="S1653" s="12" t="s">
        <v>3297</v>
      </c>
      <c r="T1653" s="11"/>
      <c r="U1653" s="10" t="str">
        <f>HYPERLINK("https://pbs.twimg.com/profile_images/1010977003196076033/3hTl853S.jpg","View")</f>
        <v>View</v>
      </c>
    </row>
    <row r="1654" spans="1:21" ht="51">
      <c r="A1654" s="6">
        <v>43441.382962962962</v>
      </c>
      <c r="B1654" s="7" t="str">
        <f>HYPERLINK("https://twitter.com/pacoluisj","@pacoluisj")</f>
        <v>@pacoluisj</v>
      </c>
      <c r="C1654" s="8" t="s">
        <v>6403</v>
      </c>
      <c r="D1654" s="9" t="s">
        <v>6404</v>
      </c>
      <c r="E1654" s="10" t="str">
        <f>HYPERLINK("https://twitter.com/pacoluisj/status/1070953926525140994","1070953926525140994")</f>
        <v>1070953926525140994</v>
      </c>
      <c r="F1654" s="12" t="s">
        <v>6405</v>
      </c>
      <c r="G1654" s="11"/>
      <c r="H1654" s="11"/>
      <c r="I1654" s="13">
        <v>0</v>
      </c>
      <c r="J1654" s="13">
        <v>2</v>
      </c>
      <c r="K1654" s="14" t="str">
        <f>HYPERLINK("http://twitter.com/download/android","Twitter for Android")</f>
        <v>Twitter for Android</v>
      </c>
      <c r="L1654" s="13">
        <v>5128</v>
      </c>
      <c r="M1654" s="13">
        <v>5193</v>
      </c>
      <c r="N1654" s="13">
        <v>33</v>
      </c>
      <c r="O1654" s="15"/>
      <c r="P1654" s="6">
        <v>40259.792893518519</v>
      </c>
      <c r="Q1654" s="18" t="s">
        <v>42</v>
      </c>
      <c r="R1654" s="19" t="s">
        <v>6406</v>
      </c>
      <c r="S1654" s="11"/>
      <c r="T1654" s="11"/>
      <c r="U1654" s="10" t="str">
        <f>HYPERLINK("https://pbs.twimg.com/profile_images/978195787904634880/xKXdKqVW.jpg","View")</f>
        <v>View</v>
      </c>
    </row>
    <row r="1655" spans="1:21" ht="30.6">
      <c r="A1655" s="6">
        <v>43441.382118055553</v>
      </c>
      <c r="B1655" s="7" t="str">
        <f>HYPERLINK("https://twitter.com/bergabil94","@bergabil94")</f>
        <v>@bergabil94</v>
      </c>
      <c r="C1655" s="8" t="s">
        <v>6407</v>
      </c>
      <c r="D1655" s="9" t="s">
        <v>6340</v>
      </c>
      <c r="E1655" s="10" t="str">
        <f>HYPERLINK("https://twitter.com/bergabil94/status/1070953620328378368","1070953620328378368")</f>
        <v>1070953620328378368</v>
      </c>
      <c r="F1655" s="12" t="s">
        <v>6408</v>
      </c>
      <c r="G1655" s="11"/>
      <c r="H1655" s="11"/>
      <c r="I1655" s="13">
        <v>0</v>
      </c>
      <c r="J1655" s="13">
        <v>0</v>
      </c>
      <c r="K1655" s="14" t="str">
        <f>HYPERLINK("https://ifttt.com","IFTTT")</f>
        <v>IFTTT</v>
      </c>
      <c r="L1655" s="13">
        <v>63</v>
      </c>
      <c r="M1655" s="13">
        <v>51</v>
      </c>
      <c r="N1655" s="13">
        <v>3</v>
      </c>
      <c r="O1655" s="15"/>
      <c r="P1655" s="6">
        <v>42758.422662037032</v>
      </c>
      <c r="Q1655" s="18" t="s">
        <v>41</v>
      </c>
      <c r="R1655" s="19" t="s">
        <v>6409</v>
      </c>
      <c r="S1655" s="11"/>
      <c r="T1655" s="11"/>
      <c r="U1655" s="10" t="str">
        <f>HYPERLINK("https://pbs.twimg.com/profile_images/823457736675459073/c35uioBB.jpg","View")</f>
        <v>View</v>
      </c>
    </row>
    <row r="1656" spans="1:21" ht="61.2">
      <c r="A1656" s="6">
        <v>43441.382013888884</v>
      </c>
      <c r="B1656" s="7" t="str">
        <f>HYPERLINK("https://twitter.com/IvanKisiakov","@IvanKisiakov")</f>
        <v>@IvanKisiakov</v>
      </c>
      <c r="C1656" s="8" t="s">
        <v>6410</v>
      </c>
      <c r="D1656" s="9" t="s">
        <v>6411</v>
      </c>
      <c r="E1656" s="10" t="str">
        <f>HYPERLINK("https://twitter.com/IvanKisiakov/status/1070953582852272128","1070953582852272128")</f>
        <v>1070953582852272128</v>
      </c>
      <c r="F1656" s="11"/>
      <c r="G1656" s="11"/>
      <c r="H1656" s="11"/>
      <c r="I1656" s="13">
        <v>0</v>
      </c>
      <c r="J1656" s="13">
        <v>0</v>
      </c>
      <c r="K1656" s="14" t="str">
        <f>HYPERLINK("http://twitter.com/#!/download/ipad","Twitter for iPad")</f>
        <v>Twitter for iPad</v>
      </c>
      <c r="L1656" s="13">
        <v>43</v>
      </c>
      <c r="M1656" s="13">
        <v>171</v>
      </c>
      <c r="N1656" s="13">
        <v>1</v>
      </c>
      <c r="O1656" s="15"/>
      <c r="P1656" s="6">
        <v>40684.433854166666</v>
      </c>
      <c r="Q1656" s="11"/>
      <c r="R1656" s="17"/>
      <c r="S1656" s="11"/>
      <c r="T1656" s="11"/>
      <c r="U1656" s="10" t="str">
        <f>HYPERLINK("https://pbs.twimg.com/profile_images/1006245564613300224/DSMeYHiT.jpg","View")</f>
        <v>View</v>
      </c>
    </row>
    <row r="1657" spans="1:21" ht="51">
      <c r="A1657" s="6">
        <v>43441.381493055553</v>
      </c>
      <c r="B1657" s="7" t="str">
        <f>HYPERLINK("https://twitter.com/txemarmesto","@txemarmesto")</f>
        <v>@txemarmesto</v>
      </c>
      <c r="C1657" s="8" t="s">
        <v>6412</v>
      </c>
      <c r="D1657" s="9" t="s">
        <v>6413</v>
      </c>
      <c r="E1657" s="10" t="str">
        <f>HYPERLINK("https://twitter.com/txemarmesto/status/1070953396411265024","1070953396411265024")</f>
        <v>1070953396411265024</v>
      </c>
      <c r="F1657" s="12" t="s">
        <v>2684</v>
      </c>
      <c r="G1657" s="11"/>
      <c r="H1657" s="11"/>
      <c r="I1657" s="13">
        <v>0</v>
      </c>
      <c r="J1657" s="13">
        <v>0</v>
      </c>
      <c r="K1657" s="14" t="str">
        <f>HYPERLINK("http://twitter.com","Twitter Web Client")</f>
        <v>Twitter Web Client</v>
      </c>
      <c r="L1657" s="13">
        <v>97</v>
      </c>
      <c r="M1657" s="13">
        <v>22</v>
      </c>
      <c r="N1657" s="13">
        <v>0</v>
      </c>
      <c r="O1657" s="15"/>
      <c r="P1657" s="6">
        <v>40185.474525462967</v>
      </c>
      <c r="Q1657" s="18" t="s">
        <v>6414</v>
      </c>
      <c r="R1657" s="19" t="s">
        <v>6415</v>
      </c>
      <c r="S1657" s="12" t="s">
        <v>6416</v>
      </c>
      <c r="T1657" s="11"/>
      <c r="U1657" s="10" t="str">
        <f>HYPERLINK("https://pbs.twimg.com/profile_images/982249540395794434/Gzile2bl.jpg","View")</f>
        <v>View</v>
      </c>
    </row>
    <row r="1658" spans="1:21" ht="40.799999999999997">
      <c r="A1658" s="6">
        <v>43441.38145833333</v>
      </c>
      <c r="B1658" s="7" t="str">
        <f>HYPERLINK("https://twitter.com/Contrescarlos","@Contrescarlos")</f>
        <v>@Contrescarlos</v>
      </c>
      <c r="C1658" s="8" t="s">
        <v>6417</v>
      </c>
      <c r="D1658" s="9" t="s">
        <v>6418</v>
      </c>
      <c r="E1658" s="10" t="str">
        <f>HYPERLINK("https://twitter.com/Contrescarlos/status/1070953384604246016","1070953384604246016")</f>
        <v>1070953384604246016</v>
      </c>
      <c r="F1658" s="12" t="s">
        <v>6419</v>
      </c>
      <c r="G1658" s="11"/>
      <c r="H1658" s="11"/>
      <c r="I1658" s="13">
        <v>0</v>
      </c>
      <c r="J1658" s="13">
        <v>0</v>
      </c>
      <c r="K1658" s="14" t="str">
        <f>HYPERLINK("https://ifttt.com","IFTTT")</f>
        <v>IFTTT</v>
      </c>
      <c r="L1658" s="13">
        <v>818</v>
      </c>
      <c r="M1658" s="13">
        <v>1562</v>
      </c>
      <c r="N1658" s="13">
        <v>12</v>
      </c>
      <c r="O1658" s="15"/>
      <c r="P1658" s="6">
        <v>42615.110532407409</v>
      </c>
      <c r="Q1658" s="18" t="s">
        <v>6420</v>
      </c>
      <c r="R1658" s="19" t="s">
        <v>6421</v>
      </c>
      <c r="S1658" s="12" t="s">
        <v>6422</v>
      </c>
      <c r="T1658" s="11"/>
      <c r="U1658" s="10" t="str">
        <f>HYPERLINK("https://pbs.twimg.com/profile_images/990225237802303489/CXX6Lw7n.jpg","View")</f>
        <v>View</v>
      </c>
    </row>
    <row r="1659" spans="1:21" ht="30.6">
      <c r="A1659" s="6">
        <v>43441.380682870367</v>
      </c>
      <c r="B1659" s="7" t="str">
        <f>HYPERLINK("https://twitter.com/jose_m_cepeda","@jose_m_cepeda")</f>
        <v>@jose_m_cepeda</v>
      </c>
      <c r="C1659" s="8" t="s">
        <v>6423</v>
      </c>
      <c r="D1659" s="9" t="s">
        <v>5841</v>
      </c>
      <c r="E1659" s="10" t="str">
        <f>HYPERLINK("https://twitter.com/jose_m_cepeda/status/1070953101199376384","1070953101199376384")</f>
        <v>1070953101199376384</v>
      </c>
      <c r="F1659" s="12" t="s">
        <v>5842</v>
      </c>
      <c r="G1659" s="11"/>
      <c r="H1659" s="11"/>
      <c r="I1659" s="13">
        <v>0</v>
      </c>
      <c r="J1659" s="13">
        <v>0</v>
      </c>
      <c r="K1659" s="14" t="str">
        <f t="shared" ref="K1659:K1660" si="286">HYPERLINK("http://twitter.com/download/iphone","Twitter for iPhone")</f>
        <v>Twitter for iPhone</v>
      </c>
      <c r="L1659" s="13">
        <v>551</v>
      </c>
      <c r="M1659" s="13">
        <v>726</v>
      </c>
      <c r="N1659" s="13">
        <v>15</v>
      </c>
      <c r="O1659" s="15"/>
      <c r="P1659" s="6">
        <v>40512.894826388889</v>
      </c>
      <c r="Q1659" s="11"/>
      <c r="R1659" s="19" t="s">
        <v>6424</v>
      </c>
      <c r="S1659" s="11"/>
      <c r="T1659" s="11"/>
      <c r="U1659" s="10" t="str">
        <f>HYPERLINK("https://pbs.twimg.com/profile_images/1015717973124927490/VMgnFNQ6.jpg","View")</f>
        <v>View</v>
      </c>
    </row>
    <row r="1660" spans="1:21" ht="30.6">
      <c r="A1660" s="6">
        <v>43441.380381944444</v>
      </c>
      <c r="B1660" s="7" t="str">
        <f>HYPERLINK("https://twitter.com/fyrrrrr","@fyrrrrr")</f>
        <v>@fyrrrrr</v>
      </c>
      <c r="C1660" s="8" t="s">
        <v>3298</v>
      </c>
      <c r="D1660" s="9" t="s">
        <v>3299</v>
      </c>
      <c r="E1660" s="10" t="str">
        <f>HYPERLINK("https://twitter.com/fyrrrrr/status/1070952992504012802","1070952992504012802")</f>
        <v>1070952992504012802</v>
      </c>
      <c r="F1660" s="11"/>
      <c r="G1660" s="11"/>
      <c r="H1660" s="11"/>
      <c r="I1660" s="13">
        <v>0</v>
      </c>
      <c r="J1660" s="13">
        <v>0</v>
      </c>
      <c r="K1660" s="14" t="str">
        <f t="shared" si="286"/>
        <v>Twitter for iPhone</v>
      </c>
      <c r="L1660" s="13">
        <v>45</v>
      </c>
      <c r="M1660" s="13">
        <v>53</v>
      </c>
      <c r="N1660" s="13">
        <v>2</v>
      </c>
      <c r="O1660" s="15"/>
      <c r="P1660" s="6">
        <v>40682.851053240738</v>
      </c>
      <c r="Q1660" s="11"/>
      <c r="R1660" s="19" t="s">
        <v>3300</v>
      </c>
      <c r="S1660" s="11"/>
      <c r="T1660" s="11"/>
      <c r="U1660" s="10" t="str">
        <f>HYPERLINK("https://pbs.twimg.com/profile_images/762395231224487936/bB_mobj4.jpg","View")</f>
        <v>View</v>
      </c>
    </row>
    <row r="1661" spans="1:21" ht="20.399999999999999">
      <c r="A1661" s="6">
        <v>43441.380254629628</v>
      </c>
      <c r="B1661" s="7" t="str">
        <f>HYPERLINK("https://twitter.com/ondacero","@ondacero")</f>
        <v>@ondacero</v>
      </c>
      <c r="C1661" s="8" t="s">
        <v>6425</v>
      </c>
      <c r="D1661" s="9" t="s">
        <v>5579</v>
      </c>
      <c r="E1661" s="10" t="str">
        <f>HYPERLINK("https://twitter.com/ondacero/status/1070952946404376576","1070952946404376576")</f>
        <v>1070952946404376576</v>
      </c>
      <c r="F1661" s="12" t="s">
        <v>6426</v>
      </c>
      <c r="G1661" s="11"/>
      <c r="H1661" s="11"/>
      <c r="I1661" s="13">
        <v>0</v>
      </c>
      <c r="J1661" s="13">
        <v>0</v>
      </c>
      <c r="K1661" s="14" t="str">
        <f>HYPERLINK("https://ifttt.com","IFTTT")</f>
        <v>IFTTT</v>
      </c>
      <c r="L1661" s="13">
        <v>2846</v>
      </c>
      <c r="M1661" s="13">
        <v>1392</v>
      </c>
      <c r="N1661" s="13">
        <v>127</v>
      </c>
      <c r="O1661" s="15"/>
      <c r="P1661" s="6">
        <v>39706.777685185181</v>
      </c>
      <c r="Q1661" s="11"/>
      <c r="R1661" s="17"/>
      <c r="S1661" s="11"/>
      <c r="T1661" s="11"/>
      <c r="U1661" s="10" t="str">
        <f>HYPERLINK("https://pbs.twimg.com/profile_images/378800000546236098/4b86a015936c5c0b37d1aea046acb0b5.jpeg","View")</f>
        <v>View</v>
      </c>
    </row>
    <row r="1662" spans="1:21" ht="91.8">
      <c r="A1662" s="6">
        <v>43441.380104166667</v>
      </c>
      <c r="B1662" s="7" t="str">
        <f>HYPERLINK("https://twitter.com/Hamburg_SFC","@Hamburg_SFC")</f>
        <v>@Hamburg_SFC</v>
      </c>
      <c r="C1662" s="8" t="s">
        <v>3303</v>
      </c>
      <c r="D1662" s="9" t="s">
        <v>3304</v>
      </c>
      <c r="E1662" s="10" t="str">
        <f>HYPERLINK("https://twitter.com/Hamburg_SFC/status/1070952893040209922","1070952893040209922")</f>
        <v>1070952893040209922</v>
      </c>
      <c r="F1662" s="12" t="s">
        <v>2682</v>
      </c>
      <c r="G1662" s="12" t="s">
        <v>2683</v>
      </c>
      <c r="H1662" s="11"/>
      <c r="I1662" s="13">
        <v>0</v>
      </c>
      <c r="J1662" s="13">
        <v>0</v>
      </c>
      <c r="K1662" s="14" t="str">
        <f>HYPERLINK("http://twitter.com/download/iphone","Twitter for iPhone")</f>
        <v>Twitter for iPhone</v>
      </c>
      <c r="L1662" s="13">
        <v>395</v>
      </c>
      <c r="M1662" s="13">
        <v>2060</v>
      </c>
      <c r="N1662" s="13">
        <v>3</v>
      </c>
      <c r="O1662" s="15"/>
      <c r="P1662" s="6">
        <v>40479.681331018517</v>
      </c>
      <c r="Q1662" s="18" t="s">
        <v>3307</v>
      </c>
      <c r="R1662" s="19" t="s">
        <v>3308</v>
      </c>
      <c r="S1662" s="11"/>
      <c r="T1662" s="11"/>
      <c r="U1662" s="10" t="str">
        <f>HYPERLINK("https://pbs.twimg.com/profile_images/825035613753790465/n4EXFGnR.jpg","View")</f>
        <v>View</v>
      </c>
    </row>
    <row r="1663" spans="1:21" ht="61.2">
      <c r="A1663" s="6">
        <v>43441.379976851851</v>
      </c>
      <c r="B1663" s="7" t="str">
        <f>HYPERLINK("https://twitter.com/Heidimetal74","@Heidimetal74")</f>
        <v>@Heidimetal74</v>
      </c>
      <c r="C1663" s="8" t="s">
        <v>3309</v>
      </c>
      <c r="D1663" s="9" t="s">
        <v>3310</v>
      </c>
      <c r="E1663" s="10" t="str">
        <f>HYPERLINK("https://twitter.com/Heidimetal74/status/1070952845648846848","1070952845648846848")</f>
        <v>1070952845648846848</v>
      </c>
      <c r="F1663" s="18" t="s">
        <v>3311</v>
      </c>
      <c r="G1663" s="11"/>
      <c r="H1663" s="11"/>
      <c r="I1663" s="13">
        <v>3</v>
      </c>
      <c r="J1663" s="13">
        <v>4</v>
      </c>
      <c r="K1663" s="14" t="str">
        <f>HYPERLINK("http://twitter.com/download/android","Twitter for Android")</f>
        <v>Twitter for Android</v>
      </c>
      <c r="L1663" s="13">
        <v>1123</v>
      </c>
      <c r="M1663" s="13">
        <v>772</v>
      </c>
      <c r="N1663" s="13">
        <v>5</v>
      </c>
      <c r="O1663" s="15"/>
      <c r="P1663" s="6">
        <v>42769.67759259259</v>
      </c>
      <c r="Q1663" s="11"/>
      <c r="R1663" s="17"/>
      <c r="S1663" s="11"/>
      <c r="T1663" s="11"/>
      <c r="U1663" s="10" t="str">
        <f>HYPERLINK("https://pbs.twimg.com/profile_images/1038920362023690240/pIcoMm_n.jpg","View")</f>
        <v>View</v>
      </c>
    </row>
    <row r="1664" spans="1:21" ht="51">
      <c r="A1664" s="6">
        <v>43441.378553240742</v>
      </c>
      <c r="B1664" s="7" t="str">
        <f>HYPERLINK("https://twitter.com/ppcabello52","@ppcabello52")</f>
        <v>@ppcabello52</v>
      </c>
      <c r="C1664" s="8" t="s">
        <v>6427</v>
      </c>
      <c r="D1664" s="9" t="s">
        <v>6428</v>
      </c>
      <c r="E1664" s="10" t="str">
        <f>HYPERLINK("https://twitter.com/ppcabello52/status/1070952328931500032","1070952328931500032")</f>
        <v>1070952328931500032</v>
      </c>
      <c r="F1664" s="11"/>
      <c r="G1664" s="11"/>
      <c r="H1664" s="11"/>
      <c r="I1664" s="13">
        <v>0</v>
      </c>
      <c r="J1664" s="13">
        <v>1</v>
      </c>
      <c r="K1664" s="14" t="str">
        <f>HYPERLINK("http://twitter.com/download/iphone","Twitter for iPhone")</f>
        <v>Twitter for iPhone</v>
      </c>
      <c r="L1664" s="13">
        <v>28</v>
      </c>
      <c r="M1664" s="13">
        <v>123</v>
      </c>
      <c r="N1664" s="13">
        <v>2</v>
      </c>
      <c r="O1664" s="15"/>
      <c r="P1664" s="6">
        <v>41622.950092592597</v>
      </c>
      <c r="Q1664" s="11"/>
      <c r="R1664" s="17"/>
      <c r="S1664" s="11"/>
      <c r="T1664" s="11"/>
      <c r="U1664" s="10" t="str">
        <f>HYPERLINK("https://pbs.twimg.com/profile_images/914446140631846913/kIhL49Nw.jpg","View")</f>
        <v>View</v>
      </c>
    </row>
    <row r="1665" spans="1:21" ht="20.399999999999999">
      <c r="A1665" s="6">
        <v>43441.378263888888</v>
      </c>
      <c r="B1665" s="7" t="str">
        <f>HYPERLINK("https://twitter.com/JulioGanguita","@JulioGanguita")</f>
        <v>@JulioGanguita</v>
      </c>
      <c r="C1665" s="8" t="s">
        <v>6429</v>
      </c>
      <c r="D1665" s="9" t="s">
        <v>6430</v>
      </c>
      <c r="E1665" s="10" t="str">
        <f>HYPERLINK("https://twitter.com/JulioGanguita/status/1070952224891813888","1070952224891813888")</f>
        <v>1070952224891813888</v>
      </c>
      <c r="F1665" s="12" t="s">
        <v>6431</v>
      </c>
      <c r="G1665" s="11"/>
      <c r="H1665" s="11"/>
      <c r="I1665" s="13">
        <v>0</v>
      </c>
      <c r="J1665" s="13">
        <v>0</v>
      </c>
      <c r="K1665" s="14" t="str">
        <f>HYPERLINK("https://ifttt.com","IFTTT")</f>
        <v>IFTTT</v>
      </c>
      <c r="L1665" s="13">
        <v>957</v>
      </c>
      <c r="M1665" s="13">
        <v>1603</v>
      </c>
      <c r="N1665" s="13">
        <v>3</v>
      </c>
      <c r="O1665" s="15"/>
      <c r="P1665" s="6">
        <v>41982.543564814812</v>
      </c>
      <c r="Q1665" s="18" t="s">
        <v>6432</v>
      </c>
      <c r="R1665" s="19" t="s">
        <v>6433</v>
      </c>
      <c r="S1665" s="11"/>
      <c r="T1665" s="11"/>
      <c r="U1665" s="10" t="str">
        <f>HYPERLINK("https://pbs.twimg.com/profile_images/859057418386497536/1I406mDG.jpg","View")</f>
        <v>View</v>
      </c>
    </row>
    <row r="1666" spans="1:21" ht="20.399999999999999">
      <c r="A1666" s="6">
        <v>43441.377847222218</v>
      </c>
      <c r="B1666" s="7" t="str">
        <f>HYPERLINK("https://twitter.com/megafonoccoo","@megafonoccoo")</f>
        <v>@megafonoccoo</v>
      </c>
      <c r="C1666" s="8" t="s">
        <v>6434</v>
      </c>
      <c r="D1666" s="9" t="s">
        <v>6435</v>
      </c>
      <c r="E1666" s="10" t="str">
        <f>HYPERLINK("https://twitter.com/megafonoccoo/status/1070952072428879872","1070952072428879872")</f>
        <v>1070952072428879872</v>
      </c>
      <c r="F1666" s="12" t="s">
        <v>6436</v>
      </c>
      <c r="G1666" s="11"/>
      <c r="H1666" s="11"/>
      <c r="I1666" s="13">
        <v>0</v>
      </c>
      <c r="J1666" s="13">
        <v>0</v>
      </c>
      <c r="K1666" s="14" t="str">
        <f t="shared" ref="K1666:K1667" si="287">HYPERLINK("http://twitter.com/download/android","Twitter for Android")</f>
        <v>Twitter for Android</v>
      </c>
      <c r="L1666" s="13">
        <v>1351</v>
      </c>
      <c r="M1666" s="13">
        <v>1532</v>
      </c>
      <c r="N1666" s="13">
        <v>36</v>
      </c>
      <c r="O1666" s="15"/>
      <c r="P1666" s="6">
        <v>41064.937581018516</v>
      </c>
      <c r="Q1666" s="18" t="s">
        <v>6437</v>
      </c>
      <c r="R1666" s="19" t="s">
        <v>6438</v>
      </c>
      <c r="S1666" s="11"/>
      <c r="T1666" s="11"/>
      <c r="U1666" s="10" t="str">
        <f>HYPERLINK("https://pbs.twimg.com/profile_images/2279929324/7cpganh95ds3ssnmh9t8.jpeg","View")</f>
        <v>View</v>
      </c>
    </row>
    <row r="1667" spans="1:21" ht="51">
      <c r="A1667" s="6">
        <v>43441.377569444448</v>
      </c>
      <c r="B1667" s="7" t="str">
        <f>HYPERLINK("https://twitter.com/JoseSerranoPonz","@JoseSerranoPonz")</f>
        <v>@JoseSerranoPonz</v>
      </c>
      <c r="C1667" s="8" t="s">
        <v>3312</v>
      </c>
      <c r="D1667" s="9" t="s">
        <v>3313</v>
      </c>
      <c r="E1667" s="10" t="str">
        <f>HYPERLINK("https://twitter.com/JoseSerranoPonz/status/1070951975292989442","1070951975292989442")</f>
        <v>1070951975292989442</v>
      </c>
      <c r="F1667" s="12" t="s">
        <v>882</v>
      </c>
      <c r="G1667" s="11"/>
      <c r="H1667" s="11"/>
      <c r="I1667" s="13">
        <v>0</v>
      </c>
      <c r="J1667" s="13">
        <v>0</v>
      </c>
      <c r="K1667" s="14" t="str">
        <f t="shared" si="287"/>
        <v>Twitter for Android</v>
      </c>
      <c r="L1667" s="13">
        <v>10</v>
      </c>
      <c r="M1667" s="13">
        <v>31</v>
      </c>
      <c r="N1667" s="13">
        <v>1</v>
      </c>
      <c r="O1667" s="15"/>
      <c r="P1667" s="6">
        <v>40954.702962962961</v>
      </c>
      <c r="Q1667" s="11"/>
      <c r="R1667" s="17"/>
      <c r="S1667" s="11"/>
      <c r="T1667" s="11"/>
      <c r="U1667" s="10" t="str">
        <f>HYPERLINK("https://pbs.twimg.com/profile_images/976378972132003841/5K_OwpbT.jpg","View")</f>
        <v>View</v>
      </c>
    </row>
    <row r="1668" spans="1:21" ht="20.399999999999999">
      <c r="A1668" s="6">
        <v>43441.377546296295</v>
      </c>
      <c r="B1668" s="7" t="str">
        <f>HYPERLINK("https://twitter.com/jdonosolorenzo","@jdonosolorenzo")</f>
        <v>@jdonosolorenzo</v>
      </c>
      <c r="C1668" s="8" t="s">
        <v>6439</v>
      </c>
      <c r="D1668" s="9" t="s">
        <v>6440</v>
      </c>
      <c r="E1668" s="10" t="str">
        <f>HYPERLINK("https://twitter.com/jdonosolorenzo/status/1070951964685623296","1070951964685623296")</f>
        <v>1070951964685623296</v>
      </c>
      <c r="F1668" s="11"/>
      <c r="G1668" s="11"/>
      <c r="H1668" s="11"/>
      <c r="I1668" s="13">
        <v>2</v>
      </c>
      <c r="J1668" s="13">
        <v>6</v>
      </c>
      <c r="K1668" s="14" t="str">
        <f>HYPERLINK("http://twitter.com/download/iphone","Twitter for iPhone")</f>
        <v>Twitter for iPhone</v>
      </c>
      <c r="L1668" s="13">
        <v>159</v>
      </c>
      <c r="M1668" s="13">
        <v>456</v>
      </c>
      <c r="N1668" s="13">
        <v>0</v>
      </c>
      <c r="O1668" s="15"/>
      <c r="P1668" s="6">
        <v>42303.535949074074</v>
      </c>
      <c r="Q1668" s="11"/>
      <c r="R1668" s="19" t="s">
        <v>6441</v>
      </c>
      <c r="S1668" s="11"/>
      <c r="T1668" s="11"/>
      <c r="U1668" s="10" t="str">
        <f>HYPERLINK("https://pbs.twimg.com/profile_images/658616223471685632/1K0UStBQ.jpg","View")</f>
        <v>View</v>
      </c>
    </row>
    <row r="1669" spans="1:21" ht="51">
      <c r="A1669" s="6">
        <v>43441.377523148149</v>
      </c>
      <c r="B1669" s="7" t="str">
        <f>HYPERLINK("https://twitter.com/JoseAntNR","@JoseAntNR")</f>
        <v>@JoseAntNR</v>
      </c>
      <c r="C1669" s="8" t="s">
        <v>3315</v>
      </c>
      <c r="D1669" s="9" t="s">
        <v>3316</v>
      </c>
      <c r="E1669" s="10" t="str">
        <f>HYPERLINK("https://twitter.com/JoseAntNR/status/1070951957815279616","1070951957815279616")</f>
        <v>1070951957815279616</v>
      </c>
      <c r="F1669" s="11"/>
      <c r="G1669" s="11"/>
      <c r="H1669" s="11"/>
      <c r="I1669" s="13">
        <v>0</v>
      </c>
      <c r="J1669" s="13">
        <v>0</v>
      </c>
      <c r="K1669" s="14" t="str">
        <f>HYPERLINK("http://twitter.com/download/android","Twitter for Android")</f>
        <v>Twitter for Android</v>
      </c>
      <c r="L1669" s="13">
        <v>4145</v>
      </c>
      <c r="M1669" s="13">
        <v>528</v>
      </c>
      <c r="N1669" s="13">
        <v>40</v>
      </c>
      <c r="O1669" s="15"/>
      <c r="P1669" s="6">
        <v>40339.922083333331</v>
      </c>
      <c r="Q1669" s="18" t="s">
        <v>3319</v>
      </c>
      <c r="R1669" s="19" t="s">
        <v>3321</v>
      </c>
      <c r="S1669" s="11"/>
      <c r="T1669" s="11"/>
      <c r="U1669" s="10" t="str">
        <f>HYPERLINK("https://pbs.twimg.com/profile_images/1053778645041532928/T2zR3uGT.jpg","View")</f>
        <v>View</v>
      </c>
    </row>
    <row r="1670" spans="1:21" ht="30.6">
      <c r="A1670" s="6">
        <v>43441.377106481479</v>
      </c>
      <c r="B1670" s="7" t="str">
        <f>HYPERLINK("https://twitter.com/FelixdeMontemar","@FelixdeMontemar")</f>
        <v>@FelixdeMontemar</v>
      </c>
      <c r="C1670" s="8" t="s">
        <v>6442</v>
      </c>
      <c r="D1670" s="9" t="s">
        <v>6443</v>
      </c>
      <c r="E1670" s="10" t="str">
        <f>HYPERLINK("https://twitter.com/FelixdeMontemar/status/1070951807764058112","1070951807764058112")</f>
        <v>1070951807764058112</v>
      </c>
      <c r="F1670" s="12" t="s">
        <v>2358</v>
      </c>
      <c r="G1670" s="11"/>
      <c r="H1670" s="11"/>
      <c r="I1670" s="13">
        <v>0</v>
      </c>
      <c r="J1670" s="13">
        <v>0</v>
      </c>
      <c r="K1670" s="14" t="str">
        <f>HYPERLINK("https://mobile.twitter.com","Mobile Web (M2)")</f>
        <v>Mobile Web (M2)</v>
      </c>
      <c r="L1670" s="13">
        <v>40</v>
      </c>
      <c r="M1670" s="13">
        <v>209</v>
      </c>
      <c r="N1670" s="13">
        <v>0</v>
      </c>
      <c r="O1670" s="15"/>
      <c r="P1670" s="6">
        <v>40418.508125</v>
      </c>
      <c r="Q1670" s="11"/>
      <c r="R1670" s="19" t="s">
        <v>6444</v>
      </c>
      <c r="S1670" s="11"/>
      <c r="T1670" s="11"/>
      <c r="U1670" s="10" t="str">
        <f>HYPERLINK("https://pbs.twimg.com/profile_images/704426119030820864/a-rES0Tx.jpg","View")</f>
        <v>View</v>
      </c>
    </row>
    <row r="1671" spans="1:21" ht="30.6">
      <c r="A1671" s="6">
        <v>43441.376886574071</v>
      </c>
      <c r="B1671" s="7" t="str">
        <f>HYPERLINK("https://twitter.com/Carlos_Criado","@Carlos_Criado")</f>
        <v>@Carlos_Criado</v>
      </c>
      <c r="C1671" s="8" t="s">
        <v>3323</v>
      </c>
      <c r="D1671" s="9" t="s">
        <v>3324</v>
      </c>
      <c r="E1671" s="10" t="str">
        <f>HYPERLINK("https://twitter.com/Carlos_Criado/status/1070951724163260416","1070951724163260416")</f>
        <v>1070951724163260416</v>
      </c>
      <c r="F1671" s="11"/>
      <c r="G1671" s="12" t="s">
        <v>3325</v>
      </c>
      <c r="H1671" s="11"/>
      <c r="I1671" s="13">
        <v>0</v>
      </c>
      <c r="J1671" s="13">
        <v>1</v>
      </c>
      <c r="K1671" s="14" t="str">
        <f>HYPERLINK("http://twitter.com/download/iphone","Twitter for iPhone")</f>
        <v>Twitter for iPhone</v>
      </c>
      <c r="L1671" s="13">
        <v>287</v>
      </c>
      <c r="M1671" s="13">
        <v>845</v>
      </c>
      <c r="N1671" s="13">
        <v>3</v>
      </c>
      <c r="O1671" s="15"/>
      <c r="P1671" s="6">
        <v>40686.01363425926</v>
      </c>
      <c r="Q1671" s="18" t="s">
        <v>3326</v>
      </c>
      <c r="R1671" s="19" t="s">
        <v>3327</v>
      </c>
      <c r="S1671" s="12" t="s">
        <v>3328</v>
      </c>
      <c r="T1671" s="11"/>
      <c r="U1671" s="10" t="str">
        <f>HYPERLINK("https://pbs.twimg.com/profile_images/974000077743296514/PVUvBLVP.jpg","View")</f>
        <v>View</v>
      </c>
    </row>
    <row r="1672" spans="1:21" ht="51">
      <c r="A1672" s="6">
        <v>43441.376388888893</v>
      </c>
      <c r="B1672" s="7" t="str">
        <f>HYPERLINK("https://twitter.com/bitMomentum","@bitMomentum")</f>
        <v>@bitMomentum</v>
      </c>
      <c r="C1672" s="8" t="s">
        <v>28</v>
      </c>
      <c r="D1672" s="9" t="s">
        <v>3329</v>
      </c>
      <c r="E1672" s="10" t="str">
        <f>HYPERLINK("https://twitter.com/bitMomentum/status/1070951544227545089","1070951544227545089")</f>
        <v>1070951544227545089</v>
      </c>
      <c r="F1672" s="11"/>
      <c r="G1672" s="11"/>
      <c r="H1672" s="11"/>
      <c r="I1672" s="13">
        <v>0</v>
      </c>
      <c r="J1672" s="13">
        <v>0</v>
      </c>
      <c r="K1672" s="14" t="str">
        <f>HYPERLINK("http://www.bitmomentum.com","bitMomentum Bot")</f>
        <v>bitMomentum Bot</v>
      </c>
      <c r="L1672" s="13">
        <v>10254</v>
      </c>
      <c r="M1672" s="13">
        <v>1059</v>
      </c>
      <c r="N1672" s="13">
        <v>263</v>
      </c>
      <c r="O1672" s="15"/>
      <c r="P1672" s="6">
        <v>41608.667511574073</v>
      </c>
      <c r="Q1672" s="11"/>
      <c r="R1672" s="19" t="s">
        <v>30</v>
      </c>
      <c r="S1672" s="12" t="s">
        <v>31</v>
      </c>
      <c r="T1672" s="11"/>
      <c r="U1672" s="10" t="str">
        <f>HYPERLINK("https://pbs.twimg.com/profile_images/378800000862185241/20ij2H3u.png","View")</f>
        <v>View</v>
      </c>
    </row>
    <row r="1673" spans="1:21" ht="20.399999999999999">
      <c r="A1673" s="6">
        <v>43441.376030092593</v>
      </c>
      <c r="B1673" s="7" t="str">
        <f>HYPERLINK("https://twitter.com/pacogarjur","@pacogarjur")</f>
        <v>@pacogarjur</v>
      </c>
      <c r="C1673" s="8" t="s">
        <v>6445</v>
      </c>
      <c r="D1673" s="9" t="s">
        <v>6446</v>
      </c>
      <c r="E1673" s="10" t="str">
        <f>HYPERLINK("https://twitter.com/pacogarjur/status/1070951415827316737","1070951415827316737")</f>
        <v>1070951415827316737</v>
      </c>
      <c r="F1673" s="12" t="s">
        <v>6447</v>
      </c>
      <c r="G1673" s="11"/>
      <c r="H1673" s="11"/>
      <c r="I1673" s="13">
        <v>0</v>
      </c>
      <c r="J1673" s="13">
        <v>0</v>
      </c>
      <c r="K1673" s="14" t="str">
        <f>HYPERLINK("http://www.facebook.com/twitter","Facebook")</f>
        <v>Facebook</v>
      </c>
      <c r="L1673" s="13">
        <v>63</v>
      </c>
      <c r="M1673" s="13">
        <v>13</v>
      </c>
      <c r="N1673" s="13">
        <v>3</v>
      </c>
      <c r="O1673" s="15"/>
      <c r="P1673" s="6">
        <v>40070.823449074072</v>
      </c>
      <c r="Q1673" s="11"/>
      <c r="R1673" s="17"/>
      <c r="S1673" s="11"/>
      <c r="T1673" s="11"/>
      <c r="U1673" s="10" t="str">
        <f>HYPERLINK("https://pbs.twimg.com/profile_images/422755211/Imagen_20001_1_","View")</f>
        <v>View</v>
      </c>
    </row>
    <row r="1674" spans="1:21" ht="51">
      <c r="A1674" s="6">
        <v>43441.375694444447</v>
      </c>
      <c r="B1674" s="7" t="str">
        <f>HYPERLINK("https://twitter.com/bitMomentum","@bitMomentum")</f>
        <v>@bitMomentum</v>
      </c>
      <c r="C1674" s="8" t="s">
        <v>28</v>
      </c>
      <c r="D1674" s="9" t="s">
        <v>3330</v>
      </c>
      <c r="E1674" s="10" t="str">
        <f>HYPERLINK("https://twitter.com/bitMomentum/status/1070951292938412032","1070951292938412032")</f>
        <v>1070951292938412032</v>
      </c>
      <c r="F1674" s="11"/>
      <c r="G1674" s="11"/>
      <c r="H1674" s="11"/>
      <c r="I1674" s="13">
        <v>0</v>
      </c>
      <c r="J1674" s="13">
        <v>0</v>
      </c>
      <c r="K1674" s="14" t="str">
        <f>HYPERLINK("http://www.bitmomentum.com","bitMomentum Bot")</f>
        <v>bitMomentum Bot</v>
      </c>
      <c r="L1674" s="13">
        <v>10254</v>
      </c>
      <c r="M1674" s="13">
        <v>1059</v>
      </c>
      <c r="N1674" s="13">
        <v>263</v>
      </c>
      <c r="O1674" s="15"/>
      <c r="P1674" s="6">
        <v>41608.667511574073</v>
      </c>
      <c r="Q1674" s="11"/>
      <c r="R1674" s="19" t="s">
        <v>30</v>
      </c>
      <c r="S1674" s="12" t="s">
        <v>31</v>
      </c>
      <c r="T1674" s="11"/>
      <c r="U1674" s="10" t="str">
        <f>HYPERLINK("https://pbs.twimg.com/profile_images/378800000862185241/20ij2H3u.png","View")</f>
        <v>View</v>
      </c>
    </row>
    <row r="1675" spans="1:21" ht="40.799999999999997">
      <c r="A1675" s="6">
        <v>43441.374548611115</v>
      </c>
      <c r="B1675" s="7" t="str">
        <f>HYPERLINK("https://twitter.com/antoniogat68","@antoniogat68")</f>
        <v>@antoniogat68</v>
      </c>
      <c r="C1675" s="8" t="s">
        <v>3335</v>
      </c>
      <c r="D1675" s="9" t="s">
        <v>3336</v>
      </c>
      <c r="E1675" s="10" t="str">
        <f>HYPERLINK("https://twitter.com/antoniogat68/status/1070950880432844800","1070950880432844800")</f>
        <v>1070950880432844800</v>
      </c>
      <c r="F1675" s="11"/>
      <c r="G1675" s="11"/>
      <c r="H1675" s="11"/>
      <c r="I1675" s="13">
        <v>1</v>
      </c>
      <c r="J1675" s="13">
        <v>2</v>
      </c>
      <c r="K1675" s="14" t="str">
        <f>HYPERLINK("https://mobile.twitter.com","Twitter Lite")</f>
        <v>Twitter Lite</v>
      </c>
      <c r="L1675" s="13">
        <v>353</v>
      </c>
      <c r="M1675" s="13">
        <v>625</v>
      </c>
      <c r="N1675" s="13">
        <v>1</v>
      </c>
      <c r="O1675" s="15"/>
      <c r="P1675" s="6">
        <v>41360.493252314816</v>
      </c>
      <c r="Q1675" s="18" t="s">
        <v>3343</v>
      </c>
      <c r="R1675" s="19" t="s">
        <v>3344</v>
      </c>
      <c r="S1675" s="11"/>
      <c r="T1675" s="11"/>
      <c r="U1675" s="10" t="str">
        <f>HYPERLINK("https://pbs.twimg.com/profile_images/1066232664578039813/vdLuU4e_.jpg","View")</f>
        <v>View</v>
      </c>
    </row>
    <row r="1676" spans="1:21" ht="40.799999999999997">
      <c r="A1676" s="6">
        <v>43441.374143518522</v>
      </c>
      <c r="B1676" s="7" t="str">
        <f>HYPERLINK("https://twitter.com/brubeaker","@brubeaker")</f>
        <v>@brubeaker</v>
      </c>
      <c r="C1676" s="8" t="s">
        <v>6235</v>
      </c>
      <c r="D1676" s="9" t="s">
        <v>6448</v>
      </c>
      <c r="E1676" s="10" t="str">
        <f>HYPERLINK("https://twitter.com/brubeaker/status/1070950731937660928","1070950731937660928")</f>
        <v>1070950731937660928</v>
      </c>
      <c r="F1676" s="11"/>
      <c r="G1676" s="11"/>
      <c r="H1676" s="11"/>
      <c r="I1676" s="13">
        <v>0</v>
      </c>
      <c r="J1676" s="13">
        <v>0</v>
      </c>
      <c r="K1676" s="14" t="str">
        <f>HYPERLINK("http://twitter.com","Twitter Web Client")</f>
        <v>Twitter Web Client</v>
      </c>
      <c r="L1676" s="13">
        <v>38</v>
      </c>
      <c r="M1676" s="13">
        <v>164</v>
      </c>
      <c r="N1676" s="13">
        <v>2</v>
      </c>
      <c r="O1676" s="15"/>
      <c r="P1676" s="6">
        <v>41780.336550925924</v>
      </c>
      <c r="Q1676" s="11"/>
      <c r="R1676" s="19" t="s">
        <v>6237</v>
      </c>
      <c r="S1676" s="11"/>
      <c r="T1676" s="11"/>
      <c r="U1676" s="10" t="str">
        <f>HYPERLINK("https://pbs.twimg.com/profile_images/1036025081179332608/VWYH9QdS.jpg","View")</f>
        <v>View</v>
      </c>
    </row>
    <row r="1677" spans="1:21" ht="51">
      <c r="A1677" s="6">
        <v>43441.373738425929</v>
      </c>
      <c r="B1677" s="7" t="str">
        <f>HYPERLINK("https://twitter.com/Vox_Murcia","@Vox_Murcia")</f>
        <v>@Vox_Murcia</v>
      </c>
      <c r="C1677" s="8" t="s">
        <v>6021</v>
      </c>
      <c r="D1677" s="9" t="s">
        <v>6449</v>
      </c>
      <c r="E1677" s="10" t="str">
        <f>HYPERLINK("https://twitter.com/Vox_Murcia/status/1070950586147897350","1070950586147897350")</f>
        <v>1070950586147897350</v>
      </c>
      <c r="F1677" s="12" t="s">
        <v>2187</v>
      </c>
      <c r="G1677" s="11"/>
      <c r="H1677" s="11"/>
      <c r="I1677" s="13">
        <v>107</v>
      </c>
      <c r="J1677" s="13">
        <v>116</v>
      </c>
      <c r="K1677" s="14" t="str">
        <f t="shared" ref="K1677:K1678" si="288">HYPERLINK("http://twitter.com/download/android","Twitter for Android")</f>
        <v>Twitter for Android</v>
      </c>
      <c r="L1677" s="13">
        <v>3286</v>
      </c>
      <c r="M1677" s="13">
        <v>3610</v>
      </c>
      <c r="N1677" s="13">
        <v>44</v>
      </c>
      <c r="O1677" s="15"/>
      <c r="P1677" s="6">
        <v>41706.990370370375</v>
      </c>
      <c r="Q1677" s="18" t="s">
        <v>6024</v>
      </c>
      <c r="R1677" s="19" t="s">
        <v>6025</v>
      </c>
      <c r="S1677" s="12" t="s">
        <v>5519</v>
      </c>
      <c r="T1677" s="11"/>
      <c r="U1677" s="10" t="str">
        <f>HYPERLINK("https://pbs.twimg.com/profile_images/1007020887571419136/2qcNDfwR.jpg","View")</f>
        <v>View</v>
      </c>
    </row>
    <row r="1678" spans="1:21" ht="40.799999999999997">
      <c r="A1678" s="6">
        <v>43441.373437499999</v>
      </c>
      <c r="B1678" s="7" t="str">
        <f>HYPERLINK("https://twitter.com/QuiqueGarci","@QuiqueGarci")</f>
        <v>@QuiqueGarci</v>
      </c>
      <c r="C1678" s="8" t="s">
        <v>6450</v>
      </c>
      <c r="D1678" s="9" t="s">
        <v>6451</v>
      </c>
      <c r="E1678" s="10" t="str">
        <f>HYPERLINK("https://twitter.com/QuiqueGarci/status/1070950475577655296","1070950475577655296")</f>
        <v>1070950475577655296</v>
      </c>
      <c r="F1678" s="11"/>
      <c r="G1678" s="11"/>
      <c r="H1678" s="11"/>
      <c r="I1678" s="13">
        <v>1</v>
      </c>
      <c r="J1678" s="13">
        <v>2</v>
      </c>
      <c r="K1678" s="14" t="str">
        <f t="shared" si="288"/>
        <v>Twitter for Android</v>
      </c>
      <c r="L1678" s="13">
        <v>480</v>
      </c>
      <c r="M1678" s="13">
        <v>743</v>
      </c>
      <c r="N1678" s="13">
        <v>4</v>
      </c>
      <c r="O1678" s="15"/>
      <c r="P1678" s="6">
        <v>41978.547835648147</v>
      </c>
      <c r="Q1678" s="11"/>
      <c r="R1678" s="17"/>
      <c r="S1678" s="11"/>
      <c r="T1678" s="11"/>
      <c r="U1678" s="10" t="str">
        <f>HYPERLINK("https://pbs.twimg.com/profile_images/957284913404837894/ohDborFX.jpg","View")</f>
        <v>View</v>
      </c>
    </row>
    <row r="1679" spans="1:21" ht="40.799999999999997">
      <c r="A1679" s="6">
        <v>43441.371828703705</v>
      </c>
      <c r="B1679" s="7" t="str">
        <f>HYPERLINK("https://twitter.com/TORMENTA45ISR","@TORMENTA45ISR")</f>
        <v>@TORMENTA45ISR</v>
      </c>
      <c r="C1679" s="8" t="s">
        <v>6452</v>
      </c>
      <c r="D1679" s="9" t="s">
        <v>6453</v>
      </c>
      <c r="E1679" s="10" t="str">
        <f>HYPERLINK("https://twitter.com/TORMENTA45ISR/status/1070949891562704896","1070949891562704896")</f>
        <v>1070949891562704896</v>
      </c>
      <c r="F1679" s="12" t="s">
        <v>2803</v>
      </c>
      <c r="G1679" s="11"/>
      <c r="H1679" s="11"/>
      <c r="I1679" s="13">
        <v>0</v>
      </c>
      <c r="J1679" s="13">
        <v>0</v>
      </c>
      <c r="K1679" s="14" t="str">
        <f>HYPERLINK("http://twitter.com","Twitter Web Client")</f>
        <v>Twitter Web Client</v>
      </c>
      <c r="L1679" s="13">
        <v>1093</v>
      </c>
      <c r="M1679" s="13">
        <v>1639</v>
      </c>
      <c r="N1679" s="13">
        <v>8</v>
      </c>
      <c r="O1679" s="15"/>
      <c r="P1679" s="6">
        <v>42066.81050925926</v>
      </c>
      <c r="Q1679" s="18" t="s">
        <v>6454</v>
      </c>
      <c r="R1679" s="19" t="s">
        <v>6455</v>
      </c>
      <c r="S1679" s="11"/>
      <c r="T1679" s="11"/>
      <c r="U1679" s="10" t="str">
        <f>HYPERLINK("https://pbs.twimg.com/profile_images/983065573746765824/D4tEux8g.jpg","View")</f>
        <v>View</v>
      </c>
    </row>
    <row r="1680" spans="1:21" ht="30.6">
      <c r="A1680" s="6">
        <v>43441.371736111112</v>
      </c>
      <c r="B1680" s="7" t="str">
        <f>HYPERLINK("https://twitter.com/21_luky","@21_luky")</f>
        <v>@21_luky</v>
      </c>
      <c r="C1680" s="8" t="s">
        <v>1588</v>
      </c>
      <c r="D1680" s="9" t="s">
        <v>6456</v>
      </c>
      <c r="E1680" s="10" t="str">
        <f>HYPERLINK("https://twitter.com/21_luky/status/1070949860986228736","1070949860986228736")</f>
        <v>1070949860986228736</v>
      </c>
      <c r="F1680" s="11"/>
      <c r="G1680" s="12" t="s">
        <v>6457</v>
      </c>
      <c r="H1680" s="11"/>
      <c r="I1680" s="13">
        <v>0</v>
      </c>
      <c r="J1680" s="13">
        <v>0</v>
      </c>
      <c r="K1680" s="14" t="str">
        <f>HYPERLINK("http://twitter.com/download/android","Twitter for Android")</f>
        <v>Twitter for Android</v>
      </c>
      <c r="L1680" s="13">
        <v>3803</v>
      </c>
      <c r="M1680" s="13">
        <v>2768</v>
      </c>
      <c r="N1680" s="13">
        <v>17</v>
      </c>
      <c r="O1680" s="15"/>
      <c r="P1680" s="6">
        <v>42259.60292824074</v>
      </c>
      <c r="Q1680" s="18" t="s">
        <v>1590</v>
      </c>
      <c r="R1680" s="19" t="s">
        <v>1591</v>
      </c>
      <c r="S1680" s="11"/>
      <c r="T1680" s="11"/>
      <c r="U1680" s="10" t="str">
        <f>HYPERLINK("https://pbs.twimg.com/profile_images/982726754988167168/zoy2gRWk.jpg","View")</f>
        <v>View</v>
      </c>
    </row>
    <row r="1681" spans="1:21" ht="71.400000000000006">
      <c r="A1681" s="6">
        <v>43441.371631944443</v>
      </c>
      <c r="B1681" s="7" t="str">
        <f>HYPERLINK("https://twitter.com/nessness1970","@nessness1970")</f>
        <v>@nessness1970</v>
      </c>
      <c r="C1681" s="8" t="s">
        <v>2071</v>
      </c>
      <c r="D1681" s="9" t="s">
        <v>3348</v>
      </c>
      <c r="E1681" s="10" t="str">
        <f>HYPERLINK("https://twitter.com/nessness1970/status/1070949819915620352","1070949819915620352")</f>
        <v>1070949819915620352</v>
      </c>
      <c r="F1681" s="12" t="s">
        <v>3349</v>
      </c>
      <c r="G1681" s="12" t="s">
        <v>3350</v>
      </c>
      <c r="H1681" s="11"/>
      <c r="I1681" s="13">
        <v>0</v>
      </c>
      <c r="J1681" s="13">
        <v>0</v>
      </c>
      <c r="K1681" s="14" t="str">
        <f>HYPERLINK("http://twitter.com/#!/download/ipad","Twitter for iPad")</f>
        <v>Twitter for iPad</v>
      </c>
      <c r="L1681" s="13">
        <v>412</v>
      </c>
      <c r="M1681" s="13">
        <v>551</v>
      </c>
      <c r="N1681" s="13">
        <v>10</v>
      </c>
      <c r="O1681" s="15"/>
      <c r="P1681" s="6">
        <v>40533.830960648149</v>
      </c>
      <c r="Q1681" s="18" t="s">
        <v>307</v>
      </c>
      <c r="R1681" s="19" t="s">
        <v>2078</v>
      </c>
      <c r="S1681" s="11"/>
      <c r="T1681" s="11"/>
      <c r="U1681" s="10" t="str">
        <f>HYPERLINK("https://pbs.twimg.com/profile_images/573772939876827136/GPkPGmLI.jpeg","View")</f>
        <v>View</v>
      </c>
    </row>
    <row r="1682" spans="1:21" ht="20.399999999999999">
      <c r="A1682" s="6">
        <v>43441.371249999997</v>
      </c>
      <c r="B1682" s="7" t="str">
        <f>HYPERLINK("https://twitter.com/_A_Zero","@_A_Zero")</f>
        <v>@_A_Zero</v>
      </c>
      <c r="C1682" s="8" t="s">
        <v>6458</v>
      </c>
      <c r="D1682" s="9" t="s">
        <v>6459</v>
      </c>
      <c r="E1682" s="10" t="str">
        <f>HYPERLINK("https://twitter.com/_A_Zero/status/1070949684917751808","1070949684917751808")</f>
        <v>1070949684917751808</v>
      </c>
      <c r="F1682" s="11"/>
      <c r="G1682" s="12" t="s">
        <v>6460</v>
      </c>
      <c r="H1682" s="11"/>
      <c r="I1682" s="13">
        <v>152</v>
      </c>
      <c r="J1682" s="13">
        <v>120</v>
      </c>
      <c r="K1682" s="14" t="str">
        <f t="shared" ref="K1682:K1683" si="289">HYPERLINK("http://twitter.com/download/android","Twitter for Android")</f>
        <v>Twitter for Android</v>
      </c>
      <c r="L1682" s="13">
        <v>3827</v>
      </c>
      <c r="M1682" s="13">
        <v>4995</v>
      </c>
      <c r="N1682" s="13">
        <v>4</v>
      </c>
      <c r="O1682" s="15"/>
      <c r="P1682" s="6">
        <v>42905.394884259258</v>
      </c>
      <c r="Q1682" s="18" t="s">
        <v>42</v>
      </c>
      <c r="R1682" s="19" t="s">
        <v>6461</v>
      </c>
      <c r="S1682" s="11"/>
      <c r="T1682" s="11"/>
      <c r="U1682" s="10" t="str">
        <f>HYPERLINK("https://pbs.twimg.com/profile_images/1068903160759103488/CYNLa8WO.jpg","View")</f>
        <v>View</v>
      </c>
    </row>
    <row r="1683" spans="1:21" ht="30.6">
      <c r="A1683" s="6">
        <v>43441.370601851857</v>
      </c>
      <c r="B1683" s="7" t="str">
        <f>HYPERLINK("https://twitter.com/Taboodelaney","@Taboodelaney")</f>
        <v>@Taboodelaney</v>
      </c>
      <c r="C1683" s="8" t="s">
        <v>4162</v>
      </c>
      <c r="D1683" s="9" t="s">
        <v>6008</v>
      </c>
      <c r="E1683" s="10" t="str">
        <f>HYPERLINK("https://twitter.com/Taboodelaney/status/1070949446979076101","1070949446979076101")</f>
        <v>1070949446979076101</v>
      </c>
      <c r="F1683" s="12" t="s">
        <v>5842</v>
      </c>
      <c r="G1683" s="11"/>
      <c r="H1683" s="11"/>
      <c r="I1683" s="13">
        <v>1</v>
      </c>
      <c r="J1683" s="13">
        <v>2</v>
      </c>
      <c r="K1683" s="14" t="str">
        <f t="shared" si="289"/>
        <v>Twitter for Android</v>
      </c>
      <c r="L1683" s="13">
        <v>1179</v>
      </c>
      <c r="M1683" s="13">
        <v>1050</v>
      </c>
      <c r="N1683" s="13">
        <v>2</v>
      </c>
      <c r="O1683" s="15"/>
      <c r="P1683" s="6">
        <v>43252.734421296293</v>
      </c>
      <c r="Q1683" s="11"/>
      <c r="R1683" s="19" t="s">
        <v>4165</v>
      </c>
      <c r="S1683" s="11"/>
      <c r="T1683" s="11"/>
      <c r="U1683" s="10" t="str">
        <f>HYPERLINK("https://pbs.twimg.com/profile_images/1054075081960382466/6n7kVrx9.jpg","View")</f>
        <v>View</v>
      </c>
    </row>
    <row r="1684" spans="1:21" ht="20.399999999999999">
      <c r="A1684" s="6">
        <v>43441.369629629626</v>
      </c>
      <c r="B1684" s="7" t="str">
        <f>HYPERLINK("https://twitter.com/ociocenter","@ociocenter")</f>
        <v>@ociocenter</v>
      </c>
      <c r="C1684" s="8" t="s">
        <v>6462</v>
      </c>
      <c r="D1684" s="9" t="s">
        <v>5901</v>
      </c>
      <c r="E1684" s="10" t="str">
        <f>HYPERLINK("https://twitter.com/ociocenter/status/1070949098176565248","1070949098176565248")</f>
        <v>1070949098176565248</v>
      </c>
      <c r="F1684" s="12" t="s">
        <v>5842</v>
      </c>
      <c r="G1684" s="11"/>
      <c r="H1684" s="11"/>
      <c r="I1684" s="13">
        <v>0</v>
      </c>
      <c r="J1684" s="13">
        <v>0</v>
      </c>
      <c r="K1684" s="14" t="str">
        <f>HYPERLINK("http://twitter.com","Twitter Web Client")</f>
        <v>Twitter Web Client</v>
      </c>
      <c r="L1684" s="13">
        <v>1044</v>
      </c>
      <c r="M1684" s="13">
        <v>1084</v>
      </c>
      <c r="N1684" s="13">
        <v>12</v>
      </c>
      <c r="O1684" s="15"/>
      <c r="P1684" s="6">
        <v>40786.718564814815</v>
      </c>
      <c r="Q1684" s="11"/>
      <c r="R1684" s="19" t="s">
        <v>6463</v>
      </c>
      <c r="S1684" s="11"/>
      <c r="T1684" s="11"/>
      <c r="U1684" s="10" t="str">
        <f>HYPERLINK("https://pbs.twimg.com/profile_images/963793416533544961/NeuRHbkO.jpg","View")</f>
        <v>View</v>
      </c>
    </row>
    <row r="1685" spans="1:21" ht="51">
      <c r="A1685" s="6">
        <v>43441.366956018523</v>
      </c>
      <c r="B1685" s="7" t="str">
        <f>HYPERLINK("https://twitter.com/javierbotia1","@javierbotia1")</f>
        <v>@javierbotia1</v>
      </c>
      <c r="C1685" s="8" t="s">
        <v>6464</v>
      </c>
      <c r="D1685" s="9" t="s">
        <v>6465</v>
      </c>
      <c r="E1685" s="10" t="str">
        <f>HYPERLINK("https://twitter.com/javierbotia1/status/1070948126524141568","1070948126524141568")</f>
        <v>1070948126524141568</v>
      </c>
      <c r="F1685" s="11"/>
      <c r="G1685" s="12" t="s">
        <v>6466</v>
      </c>
      <c r="H1685" s="11"/>
      <c r="I1685" s="13">
        <v>0</v>
      </c>
      <c r="J1685" s="13">
        <v>4</v>
      </c>
      <c r="K1685" s="14" t="str">
        <f t="shared" ref="K1685:K1686" si="290">HYPERLINK("http://twitter.com/download/android","Twitter for Android")</f>
        <v>Twitter for Android</v>
      </c>
      <c r="L1685" s="13">
        <v>1523</v>
      </c>
      <c r="M1685" s="13">
        <v>264</v>
      </c>
      <c r="N1685" s="13">
        <v>19</v>
      </c>
      <c r="O1685" s="15"/>
      <c r="P1685" s="6">
        <v>41171.545983796299</v>
      </c>
      <c r="Q1685" s="18" t="s">
        <v>6467</v>
      </c>
      <c r="R1685" s="19" t="s">
        <v>6468</v>
      </c>
      <c r="S1685" s="12" t="s">
        <v>6469</v>
      </c>
      <c r="T1685" s="11"/>
      <c r="U1685" s="10" t="str">
        <f>HYPERLINK("https://pbs.twimg.com/profile_images/747392796861014016/zbsE8v2i.jpg","View")</f>
        <v>View</v>
      </c>
    </row>
    <row r="1686" spans="1:21" ht="51">
      <c r="A1686" s="6">
        <v>43441.366724537038</v>
      </c>
      <c r="B1686" s="7" t="str">
        <f>HYPERLINK("https://twitter.com/gabylopez83","@gabylopez83")</f>
        <v>@gabylopez83</v>
      </c>
      <c r="C1686" s="8" t="s">
        <v>5602</v>
      </c>
      <c r="D1686" s="9" t="s">
        <v>6470</v>
      </c>
      <c r="E1686" s="10" t="str">
        <f>HYPERLINK("https://twitter.com/gabylopez83/status/1070948042965221376","1070948042965221376")</f>
        <v>1070948042965221376</v>
      </c>
      <c r="F1686" s="11"/>
      <c r="G1686" s="12" t="s">
        <v>6471</v>
      </c>
      <c r="H1686" s="11"/>
      <c r="I1686" s="13">
        <v>71</v>
      </c>
      <c r="J1686" s="13">
        <v>110</v>
      </c>
      <c r="K1686" s="14" t="str">
        <f t="shared" si="290"/>
        <v>Twitter for Android</v>
      </c>
      <c r="L1686" s="13">
        <v>9622</v>
      </c>
      <c r="M1686" s="13">
        <v>10033</v>
      </c>
      <c r="N1686" s="13">
        <v>14</v>
      </c>
      <c r="O1686" s="15"/>
      <c r="P1686" s="6">
        <v>40862.824189814812</v>
      </c>
      <c r="Q1686" s="11"/>
      <c r="R1686" s="19" t="s">
        <v>5605</v>
      </c>
      <c r="S1686" s="12" t="s">
        <v>5606</v>
      </c>
      <c r="T1686" s="11"/>
      <c r="U1686" s="10" t="str">
        <f>HYPERLINK("https://pbs.twimg.com/profile_images/1008854272363192320/to6ROs3Z.jpg","View")</f>
        <v>View</v>
      </c>
    </row>
    <row r="1687" spans="1:21" ht="40.799999999999997">
      <c r="A1687" s="6">
        <v>43441.366249999999</v>
      </c>
      <c r="B1687" s="7" t="str">
        <f>HYPERLINK("https://twitter.com/brubeaker","@brubeaker")</f>
        <v>@brubeaker</v>
      </c>
      <c r="C1687" s="8" t="s">
        <v>6235</v>
      </c>
      <c r="D1687" s="9" t="s">
        <v>6472</v>
      </c>
      <c r="E1687" s="10" t="str">
        <f>HYPERLINK("https://twitter.com/brubeaker/status/1070947870096920577","1070947870096920577")</f>
        <v>1070947870096920577</v>
      </c>
      <c r="F1687" s="11"/>
      <c r="G1687" s="11"/>
      <c r="H1687" s="11"/>
      <c r="I1687" s="13">
        <v>0</v>
      </c>
      <c r="J1687" s="13">
        <v>0</v>
      </c>
      <c r="K1687" s="14" t="str">
        <f>HYPERLINK("http://twitter.com","Twitter Web Client")</f>
        <v>Twitter Web Client</v>
      </c>
      <c r="L1687" s="13">
        <v>38</v>
      </c>
      <c r="M1687" s="13">
        <v>164</v>
      </c>
      <c r="N1687" s="13">
        <v>2</v>
      </c>
      <c r="O1687" s="15"/>
      <c r="P1687" s="6">
        <v>41780.336550925924</v>
      </c>
      <c r="Q1687" s="11"/>
      <c r="R1687" s="19" t="s">
        <v>6237</v>
      </c>
      <c r="S1687" s="11"/>
      <c r="T1687" s="11"/>
      <c r="U1687" s="10" t="str">
        <f>HYPERLINK("https://pbs.twimg.com/profile_images/1036025081179332608/VWYH9QdS.jpg","View")</f>
        <v>View</v>
      </c>
    </row>
    <row r="1688" spans="1:21" ht="30.6">
      <c r="A1688" s="6">
        <v>43441.366099537037</v>
      </c>
      <c r="B1688" s="7" t="str">
        <f>HYPERLINK("https://twitter.com/gargon1948","@gargon1948")</f>
        <v>@gargon1948</v>
      </c>
      <c r="C1688" s="8" t="s">
        <v>6473</v>
      </c>
      <c r="D1688" s="9" t="s">
        <v>6474</v>
      </c>
      <c r="E1688" s="10" t="str">
        <f>HYPERLINK("https://twitter.com/gargon1948/status/1070947818276294656","1070947818276294656")</f>
        <v>1070947818276294656</v>
      </c>
      <c r="F1688" s="12" t="s">
        <v>6475</v>
      </c>
      <c r="G1688" s="11"/>
      <c r="H1688" s="11"/>
      <c r="I1688" s="13">
        <v>1</v>
      </c>
      <c r="J1688" s="13">
        <v>1</v>
      </c>
      <c r="K1688" s="14" t="str">
        <f>HYPERLINK("http://www.facebook.com/twitter","Facebook")</f>
        <v>Facebook</v>
      </c>
      <c r="L1688" s="13">
        <v>60</v>
      </c>
      <c r="M1688" s="13">
        <v>173</v>
      </c>
      <c r="N1688" s="13">
        <v>2</v>
      </c>
      <c r="O1688" s="15"/>
      <c r="P1688" s="6">
        <v>40531.027662037035</v>
      </c>
      <c r="Q1688" s="11"/>
      <c r="R1688" s="17"/>
      <c r="S1688" s="11"/>
      <c r="T1688" s="11"/>
      <c r="U1688" s="16" t="s">
        <v>191</v>
      </c>
    </row>
    <row r="1689" spans="1:21" ht="30.6">
      <c r="A1689" s="6">
        <v>43441.364652777775</v>
      </c>
      <c r="B1689" s="7" t="str">
        <f>HYPERLINK("https://twitter.com/proeticos","@proeticos")</f>
        <v>@proeticos</v>
      </c>
      <c r="C1689" s="8" t="s">
        <v>6476</v>
      </c>
      <c r="D1689" s="9" t="s">
        <v>6477</v>
      </c>
      <c r="E1689" s="10" t="str">
        <f>HYPERLINK("https://twitter.com/proeticos/status/1070947293921189888","1070947293921189888")</f>
        <v>1070947293921189888</v>
      </c>
      <c r="F1689" s="11"/>
      <c r="G1689" s="12" t="s">
        <v>6478</v>
      </c>
      <c r="H1689" s="11"/>
      <c r="I1689" s="13">
        <v>1</v>
      </c>
      <c r="J1689" s="13">
        <v>0</v>
      </c>
      <c r="K1689" s="14" t="str">
        <f>HYPERLINK("http://twitter.com","Twitter Web Client")</f>
        <v>Twitter Web Client</v>
      </c>
      <c r="L1689" s="13">
        <v>8496</v>
      </c>
      <c r="M1689" s="13">
        <v>6758</v>
      </c>
      <c r="N1689" s="13">
        <v>119</v>
      </c>
      <c r="O1689" s="15"/>
      <c r="P1689" s="6">
        <v>40348.354050925926</v>
      </c>
      <c r="Q1689" s="18" t="s">
        <v>942</v>
      </c>
      <c r="R1689" s="19" t="s">
        <v>6479</v>
      </c>
      <c r="S1689" s="11"/>
      <c r="T1689" s="11"/>
      <c r="U1689" s="10" t="str">
        <f>HYPERLINK("https://pbs.twimg.com/profile_images/1070032435822260224/PYZ9mQNC.jpg","View")</f>
        <v>View</v>
      </c>
    </row>
    <row r="1690" spans="1:21" ht="30.6">
      <c r="A1690" s="6">
        <v>43441.364641203705</v>
      </c>
      <c r="B1690" s="7" t="str">
        <f>HYPERLINK("https://twitter.com/juanmaruiz38","@juanmaruiz38")</f>
        <v>@juanmaruiz38</v>
      </c>
      <c r="C1690" s="8" t="s">
        <v>6480</v>
      </c>
      <c r="D1690" s="9" t="s">
        <v>6481</v>
      </c>
      <c r="E1690" s="10" t="str">
        <f>HYPERLINK("https://twitter.com/juanmaruiz38/status/1070947288317599744","1070947288317599744")</f>
        <v>1070947288317599744</v>
      </c>
      <c r="F1690" s="12" t="s">
        <v>6482</v>
      </c>
      <c r="G1690" s="11"/>
      <c r="H1690" s="11"/>
      <c r="I1690" s="13">
        <v>0</v>
      </c>
      <c r="J1690" s="13">
        <v>0</v>
      </c>
      <c r="K1690" s="14" t="str">
        <f>HYPERLINK("https://www.google.com/","Google")</f>
        <v>Google</v>
      </c>
      <c r="L1690" s="13">
        <v>775</v>
      </c>
      <c r="M1690" s="13">
        <v>1342</v>
      </c>
      <c r="N1690" s="13">
        <v>15</v>
      </c>
      <c r="O1690" s="15"/>
      <c r="P1690" s="6">
        <v>40588.358287037037</v>
      </c>
      <c r="Q1690" s="18" t="s">
        <v>6467</v>
      </c>
      <c r="R1690" s="19" t="s">
        <v>6483</v>
      </c>
      <c r="S1690" s="11"/>
      <c r="T1690" s="11"/>
      <c r="U1690" s="10" t="str">
        <f>HYPERLINK("https://pbs.twimg.com/profile_images/947088654182338560/G57ZrTft.jpg","View")</f>
        <v>View</v>
      </c>
    </row>
    <row r="1691" spans="1:21" ht="51">
      <c r="A1691" s="6">
        <v>43441.363009259258</v>
      </c>
      <c r="B1691" s="7" t="str">
        <f>HYPERLINK("https://twitter.com/carloselburgo","@carloselburgo")</f>
        <v>@carloselburgo</v>
      </c>
      <c r="C1691" s="8" t="s">
        <v>6484</v>
      </c>
      <c r="D1691" s="9" t="s">
        <v>6485</v>
      </c>
      <c r="E1691" s="10" t="str">
        <f>HYPERLINK("https://twitter.com/carloselburgo/status/1070946698321649664","1070946698321649664")</f>
        <v>1070946698321649664</v>
      </c>
      <c r="F1691" s="18" t="s">
        <v>6486</v>
      </c>
      <c r="G1691" s="12" t="s">
        <v>6487</v>
      </c>
      <c r="H1691" s="11"/>
      <c r="I1691" s="13">
        <v>0</v>
      </c>
      <c r="J1691" s="13">
        <v>0</v>
      </c>
      <c r="K1691" s="14" t="str">
        <f>HYPERLINK("https://mobile.twitter.com","Twitter Lite")</f>
        <v>Twitter Lite</v>
      </c>
      <c r="L1691" s="13">
        <v>516</v>
      </c>
      <c r="M1691" s="13">
        <v>947</v>
      </c>
      <c r="N1691" s="13">
        <v>15</v>
      </c>
      <c r="O1691" s="15"/>
      <c r="P1691" s="6">
        <v>41141.39503472222</v>
      </c>
      <c r="Q1691" s="18" t="s">
        <v>42</v>
      </c>
      <c r="R1691" s="19" t="s">
        <v>6488</v>
      </c>
      <c r="S1691" s="11"/>
      <c r="T1691" s="11"/>
      <c r="U1691" s="10" t="str">
        <f>HYPERLINK("https://pbs.twimg.com/profile_images/1040660365279944704/pn6vYhSI.jpg","View")</f>
        <v>View</v>
      </c>
    </row>
    <row r="1692" spans="1:21" ht="91.8">
      <c r="A1692" s="6">
        <v>43441.361273148148</v>
      </c>
      <c r="B1692" s="7" t="str">
        <f>HYPERLINK("https://twitter.com/golorico","@golorico")</f>
        <v>@golorico</v>
      </c>
      <c r="C1692" s="8" t="s">
        <v>6489</v>
      </c>
      <c r="D1692" s="9" t="s">
        <v>6490</v>
      </c>
      <c r="E1692" s="10" t="str">
        <f>HYPERLINK("https://twitter.com/golorico/status/1070946068534304768","1070946068534304768")</f>
        <v>1070946068534304768</v>
      </c>
      <c r="F1692" s="12" t="s">
        <v>6491</v>
      </c>
      <c r="G1692" s="12" t="s">
        <v>6492</v>
      </c>
      <c r="H1692" s="11"/>
      <c r="I1692" s="13">
        <v>1</v>
      </c>
      <c r="J1692" s="13">
        <v>0</v>
      </c>
      <c r="K1692" s="14" t="str">
        <f t="shared" ref="K1692:K1695" si="291">HYPERLINK("http://twitter.com/download/android","Twitter for Android")</f>
        <v>Twitter for Android</v>
      </c>
      <c r="L1692" s="13">
        <v>2919</v>
      </c>
      <c r="M1692" s="13">
        <v>3865</v>
      </c>
      <c r="N1692" s="13">
        <v>60</v>
      </c>
      <c r="O1692" s="15"/>
      <c r="P1692" s="6">
        <v>40866.586539351854</v>
      </c>
      <c r="Q1692" s="11"/>
      <c r="R1692" s="19" t="s">
        <v>6493</v>
      </c>
      <c r="S1692" s="11"/>
      <c r="T1692" s="11"/>
      <c r="U1692" s="10" t="str">
        <f>HYPERLINK("https://pbs.twimg.com/profile_images/883382841232457728/MvxBb_dd.jpg","View")</f>
        <v>View</v>
      </c>
    </row>
    <row r="1693" spans="1:21" ht="91.8">
      <c r="A1693" s="6">
        <v>43441.358726851853</v>
      </c>
      <c r="B1693" s="7" t="str">
        <f>HYPERLINK("https://twitter.com/COHIRIENTE","@COHIRIENTE")</f>
        <v>@COHIRIENTE</v>
      </c>
      <c r="C1693" s="8" t="s">
        <v>6494</v>
      </c>
      <c r="D1693" s="9" t="s">
        <v>6495</v>
      </c>
      <c r="E1693" s="10" t="str">
        <f>HYPERLINK("https://twitter.com/COHIRIENTE/status/1070945146143981568","1070945146143981568")</f>
        <v>1070945146143981568</v>
      </c>
      <c r="F1693" s="12" t="s">
        <v>6496</v>
      </c>
      <c r="G1693" s="11"/>
      <c r="H1693" s="11"/>
      <c r="I1693" s="13">
        <v>0</v>
      </c>
      <c r="J1693" s="13">
        <v>0</v>
      </c>
      <c r="K1693" s="14" t="str">
        <f t="shared" si="291"/>
        <v>Twitter for Android</v>
      </c>
      <c r="L1693" s="13">
        <v>81</v>
      </c>
      <c r="M1693" s="13">
        <v>364</v>
      </c>
      <c r="N1693" s="13">
        <v>0</v>
      </c>
      <c r="O1693" s="15"/>
      <c r="P1693" s="6">
        <v>41599.907511574071</v>
      </c>
      <c r="Q1693" s="11"/>
      <c r="R1693" s="19" t="s">
        <v>6497</v>
      </c>
      <c r="S1693" s="11"/>
      <c r="T1693" s="11"/>
      <c r="U1693" s="10" t="str">
        <f>HYPERLINK("https://pbs.twimg.com/profile_images/933453525262192642/vNvWdfxq.jpg","View")</f>
        <v>View</v>
      </c>
    </row>
    <row r="1694" spans="1:21" ht="20.399999999999999">
      <c r="A1694" s="6">
        <v>43441.357615740737</v>
      </c>
      <c r="B1694" s="7" t="str">
        <f>HYPERLINK("https://twitter.com/poetaRIPjagf","@poetaRIPjagf")</f>
        <v>@poetaRIPjagf</v>
      </c>
      <c r="C1694" s="8" t="s">
        <v>6498</v>
      </c>
      <c r="D1694" s="9" t="s">
        <v>3591</v>
      </c>
      <c r="E1694" s="10" t="str">
        <f>HYPERLINK("https://twitter.com/poetaRIPjagf/status/1070944743914463232","1070944743914463232")</f>
        <v>1070944743914463232</v>
      </c>
      <c r="F1694" s="12" t="s">
        <v>6499</v>
      </c>
      <c r="G1694" s="11"/>
      <c r="H1694" s="11"/>
      <c r="I1694" s="13">
        <v>0</v>
      </c>
      <c r="J1694" s="13">
        <v>0</v>
      </c>
      <c r="K1694" s="14" t="str">
        <f t="shared" si="291"/>
        <v>Twitter for Android</v>
      </c>
      <c r="L1694" s="13">
        <v>270</v>
      </c>
      <c r="M1694" s="13">
        <v>1517</v>
      </c>
      <c r="N1694" s="13">
        <v>4</v>
      </c>
      <c r="O1694" s="15"/>
      <c r="P1694" s="6">
        <v>40954.500335648147</v>
      </c>
      <c r="Q1694" s="18" t="s">
        <v>1325</v>
      </c>
      <c r="R1694" s="17"/>
      <c r="S1694" s="11"/>
      <c r="T1694" s="11"/>
      <c r="U1694" s="10" t="str">
        <f>HYPERLINK("https://pbs.twimg.com/profile_images/378800000807052061/0dd5a68f265454385b39c4695bc0f75e.jpeg","View")</f>
        <v>View</v>
      </c>
    </row>
    <row r="1695" spans="1:21" ht="40.799999999999997">
      <c r="A1695" s="6">
        <v>43441.356365740736</v>
      </c>
      <c r="B1695" s="7" t="str">
        <f>HYPERLINK("https://twitter.com/CabreadoIronico","@CabreadoIronico")</f>
        <v>@CabreadoIronico</v>
      </c>
      <c r="C1695" s="8" t="s">
        <v>1825</v>
      </c>
      <c r="D1695" s="9" t="s">
        <v>3355</v>
      </c>
      <c r="E1695" s="10" t="str">
        <f>HYPERLINK("https://twitter.com/CabreadoIronico/status/1070944291319660545","1070944291319660545")</f>
        <v>1070944291319660545</v>
      </c>
      <c r="F1695" s="11"/>
      <c r="G1695" s="12" t="s">
        <v>3356</v>
      </c>
      <c r="H1695" s="11"/>
      <c r="I1695" s="13">
        <v>0</v>
      </c>
      <c r="J1695" s="13">
        <v>0</v>
      </c>
      <c r="K1695" s="14" t="str">
        <f t="shared" si="291"/>
        <v>Twitter for Android</v>
      </c>
      <c r="L1695" s="13">
        <v>15</v>
      </c>
      <c r="M1695" s="13">
        <v>127</v>
      </c>
      <c r="N1695" s="13">
        <v>0</v>
      </c>
      <c r="O1695" s="15"/>
      <c r="P1695" s="6">
        <v>43438.227893518517</v>
      </c>
      <c r="Q1695" s="11"/>
      <c r="R1695" s="17"/>
      <c r="S1695" s="11"/>
      <c r="T1695" s="11"/>
      <c r="U1695" s="10" t="str">
        <f>HYPERLINK("https://pbs.twimg.com/profile_images/1069811905978687488/PVh96F51.jpg","View")</f>
        <v>View</v>
      </c>
    </row>
    <row r="1696" spans="1:21" ht="40.799999999999997">
      <c r="A1696" s="6">
        <v>43441.353599537033</v>
      </c>
      <c r="B1696" s="7" t="str">
        <f>HYPERLINK("https://twitter.com/PdeSamos","@PdeSamos")</f>
        <v>@PdeSamos</v>
      </c>
      <c r="C1696" s="8" t="s">
        <v>1432</v>
      </c>
      <c r="D1696" s="9" t="s">
        <v>6500</v>
      </c>
      <c r="E1696" s="10" t="str">
        <f>HYPERLINK("https://twitter.com/PdeSamos/status/1070943288193093633","1070943288193093633")</f>
        <v>1070943288193093633</v>
      </c>
      <c r="F1696" s="12" t="s">
        <v>6501</v>
      </c>
      <c r="G1696" s="11"/>
      <c r="H1696" s="11"/>
      <c r="I1696" s="13">
        <v>0</v>
      </c>
      <c r="J1696" s="13">
        <v>0</v>
      </c>
      <c r="K1696" s="14" t="str">
        <f>HYPERLINK("http://republico.ddns.net","App Libertad PdeSamos")</f>
        <v>App Libertad PdeSamos</v>
      </c>
      <c r="L1696" s="13">
        <v>5398</v>
      </c>
      <c r="M1696" s="13">
        <v>5441</v>
      </c>
      <c r="N1696" s="13">
        <v>12</v>
      </c>
      <c r="O1696" s="15"/>
      <c r="P1696" s="6">
        <v>42889.820567129631</v>
      </c>
      <c r="Q1696" s="18" t="s">
        <v>1336</v>
      </c>
      <c r="R1696" s="19" t="s">
        <v>1438</v>
      </c>
      <c r="S1696" s="11"/>
      <c r="T1696" s="11"/>
      <c r="U1696" s="10" t="str">
        <f>HYPERLINK("https://pbs.twimg.com/profile_images/871063742003511296/xK2IYbrO.jpg","View")</f>
        <v>View</v>
      </c>
    </row>
    <row r="1697" spans="1:21" ht="30.6">
      <c r="A1697" s="6">
        <v>43441.352951388893</v>
      </c>
      <c r="B1697" s="7" t="str">
        <f>HYPERLINK("https://twitter.com/situacionesdifi","@situacionesdifi")</f>
        <v>@situacionesdifi</v>
      </c>
      <c r="C1697" s="8" t="s">
        <v>1136</v>
      </c>
      <c r="D1697" s="9" t="s">
        <v>3357</v>
      </c>
      <c r="E1697" s="10" t="str">
        <f>HYPERLINK("https://twitter.com/situacionesdifi/status/1070943054012522496","1070943054012522496")</f>
        <v>1070943054012522496</v>
      </c>
      <c r="F1697" s="11"/>
      <c r="G1697" s="12" t="s">
        <v>3360</v>
      </c>
      <c r="H1697" s="11"/>
      <c r="I1697" s="13">
        <v>0</v>
      </c>
      <c r="J1697" s="13">
        <v>0</v>
      </c>
      <c r="K1697" s="14" t="str">
        <f>HYPERLINK("http://twitter.com","Twitter Web Client")</f>
        <v>Twitter Web Client</v>
      </c>
      <c r="L1697" s="13">
        <v>253</v>
      </c>
      <c r="M1697" s="13">
        <v>403</v>
      </c>
      <c r="N1697" s="13">
        <v>2</v>
      </c>
      <c r="O1697" s="15"/>
      <c r="P1697" s="6">
        <v>43083.860150462962</v>
      </c>
      <c r="Q1697" s="18" t="s">
        <v>1141</v>
      </c>
      <c r="R1697" s="19" t="s">
        <v>1142</v>
      </c>
      <c r="S1697" s="12" t="s">
        <v>1143</v>
      </c>
      <c r="T1697" s="11"/>
      <c r="U1697" s="10" t="str">
        <f>HYPERLINK("https://pbs.twimg.com/profile_images/1043776966606884865/G4lwV7yU.jpg","View")</f>
        <v>View</v>
      </c>
    </row>
    <row r="1698" spans="1:21" ht="51">
      <c r="A1698" s="6">
        <v>43441.352800925924</v>
      </c>
      <c r="B1698" s="7" t="str">
        <f>HYPERLINK("https://twitter.com/AhoraCantabria","@AhoraCantabria")</f>
        <v>@AhoraCantabria</v>
      </c>
      <c r="C1698" s="8" t="s">
        <v>3104</v>
      </c>
      <c r="D1698" s="9" t="s">
        <v>5670</v>
      </c>
      <c r="E1698" s="10" t="str">
        <f>HYPERLINK("https://twitter.com/AhoraCantabria/status/1070942996005294082","1070942996005294082")</f>
        <v>1070942996005294082</v>
      </c>
      <c r="F1698" s="11"/>
      <c r="G1698" s="12" t="s">
        <v>6502</v>
      </c>
      <c r="H1698" s="11"/>
      <c r="I1698" s="13">
        <v>0</v>
      </c>
      <c r="J1698" s="13">
        <v>0</v>
      </c>
      <c r="K1698" s="14" t="str">
        <f>HYPERLINK("https://buffer.com","Buffer")</f>
        <v>Buffer</v>
      </c>
      <c r="L1698" s="13">
        <v>8608</v>
      </c>
      <c r="M1698" s="13">
        <v>1423</v>
      </c>
      <c r="N1698" s="13">
        <v>134</v>
      </c>
      <c r="O1698" s="15"/>
      <c r="P1698" s="6">
        <v>41200.829687500001</v>
      </c>
      <c r="Q1698" s="18" t="s">
        <v>3108</v>
      </c>
      <c r="R1698" s="19" t="s">
        <v>3109</v>
      </c>
      <c r="S1698" s="12" t="s">
        <v>3110</v>
      </c>
      <c r="T1698" s="11"/>
      <c r="U1698" s="10" t="str">
        <f>HYPERLINK("https://pbs.twimg.com/profile_images/978940959617617922/UqYGk2Wc.jpg","View")</f>
        <v>View</v>
      </c>
    </row>
    <row r="1699" spans="1:21" ht="40.799999999999997">
      <c r="A1699" s="6">
        <v>43441.351909722223</v>
      </c>
      <c r="B1699" s="7" t="str">
        <f>HYPERLINK("https://twitter.com/nortabarnes","@nortabarnes")</f>
        <v>@nortabarnes</v>
      </c>
      <c r="C1699" s="8" t="s">
        <v>6503</v>
      </c>
      <c r="D1699" s="9" t="s">
        <v>6504</v>
      </c>
      <c r="E1699" s="10" t="str">
        <f>HYPERLINK("https://twitter.com/nortabarnes/status/1070942674079936512","1070942674079936512")</f>
        <v>1070942674079936512</v>
      </c>
      <c r="F1699" s="11"/>
      <c r="G1699" s="11"/>
      <c r="H1699" s="11"/>
      <c r="I1699" s="13">
        <v>0</v>
      </c>
      <c r="J1699" s="13">
        <v>0</v>
      </c>
      <c r="K1699" s="14" t="str">
        <f>HYPERLINK("http://twitter.com/download/android","Twitter for Android")</f>
        <v>Twitter for Android</v>
      </c>
      <c r="L1699" s="13">
        <v>127</v>
      </c>
      <c r="M1699" s="13">
        <v>123</v>
      </c>
      <c r="N1699" s="13">
        <v>0</v>
      </c>
      <c r="O1699" s="15"/>
      <c r="P1699" s="6">
        <v>43184.449884259258</v>
      </c>
      <c r="Q1699" s="18" t="s">
        <v>671</v>
      </c>
      <c r="R1699" s="19" t="s">
        <v>6505</v>
      </c>
      <c r="S1699" s="11"/>
      <c r="T1699" s="11"/>
      <c r="U1699" s="10" t="str">
        <f>HYPERLINK("https://pbs.twimg.com/profile_images/988842596435922944/wuiHDfbu.jpg","View")</f>
        <v>View</v>
      </c>
    </row>
    <row r="1700" spans="1:21" ht="30.6">
      <c r="A1700" s="6">
        <v>43441.351643518516</v>
      </c>
      <c r="B1700" s="7" t="str">
        <f>HYPERLINK("https://twitter.com/DouglasMcArtur","@DouglasMcArtur")</f>
        <v>@DouglasMcArtur</v>
      </c>
      <c r="C1700" s="8" t="s">
        <v>6506</v>
      </c>
      <c r="D1700" s="9" t="s">
        <v>39</v>
      </c>
      <c r="E1700" s="10" t="str">
        <f>HYPERLINK("https://twitter.com/DouglasMcArtur/status/1070942580400160768","1070942580400160768")</f>
        <v>1070942580400160768</v>
      </c>
      <c r="F1700" s="12" t="s">
        <v>40</v>
      </c>
      <c r="G1700" s="11"/>
      <c r="H1700" s="11"/>
      <c r="I1700" s="13">
        <v>0</v>
      </c>
      <c r="J1700" s="13">
        <v>0</v>
      </c>
      <c r="K1700" s="14" t="str">
        <f>HYPERLINK("http://twitter.com/download/iphone","Twitter for iPhone")</f>
        <v>Twitter for iPhone</v>
      </c>
      <c r="L1700" s="13">
        <v>2758</v>
      </c>
      <c r="M1700" s="13">
        <v>2583</v>
      </c>
      <c r="N1700" s="13">
        <v>4</v>
      </c>
      <c r="O1700" s="15"/>
      <c r="P1700" s="6">
        <v>41780.515393518523</v>
      </c>
      <c r="Q1700" s="18" t="s">
        <v>1682</v>
      </c>
      <c r="R1700" s="19" t="s">
        <v>6507</v>
      </c>
      <c r="S1700" s="11"/>
      <c r="T1700" s="11"/>
      <c r="U1700" s="10" t="str">
        <f>HYPERLINK("https://pbs.twimg.com/profile_images/942333442418716673/uQdMnwdJ.jpg","View")</f>
        <v>View</v>
      </c>
    </row>
    <row r="1701" spans="1:21" ht="30.6">
      <c r="A1701" s="6">
        <v>43441.35157407407</v>
      </c>
      <c r="B1701" s="7" t="str">
        <f>HYPERLINK("https://twitter.com/lonuso","@lonuso")</f>
        <v>@lonuso</v>
      </c>
      <c r="C1701" s="8" t="s">
        <v>3363</v>
      </c>
      <c r="D1701" s="9" t="s">
        <v>3364</v>
      </c>
      <c r="E1701" s="10" t="str">
        <f>HYPERLINK("https://twitter.com/lonuso/status/1070942555108503552","1070942555108503552")</f>
        <v>1070942555108503552</v>
      </c>
      <c r="F1701" s="11"/>
      <c r="G1701" s="11"/>
      <c r="H1701" s="11"/>
      <c r="I1701" s="13">
        <v>0</v>
      </c>
      <c r="J1701" s="13">
        <v>0</v>
      </c>
      <c r="K1701" s="14" t="str">
        <f>HYPERLINK("http://twitter.com/#!/download/ipad","Twitter for iPad")</f>
        <v>Twitter for iPad</v>
      </c>
      <c r="L1701" s="13">
        <v>172</v>
      </c>
      <c r="M1701" s="13">
        <v>1031</v>
      </c>
      <c r="N1701" s="13">
        <v>26</v>
      </c>
      <c r="O1701" s="15"/>
      <c r="P1701" s="6">
        <v>40495.018587962964</v>
      </c>
      <c r="Q1701" s="11"/>
      <c r="R1701" s="19" t="s">
        <v>3365</v>
      </c>
      <c r="S1701" s="11"/>
      <c r="T1701" s="11"/>
      <c r="U1701" s="10" t="str">
        <f>HYPERLINK("https://pbs.twimg.com/profile_images/1070411428295786496/eOfUsKou.jpg","View")</f>
        <v>View</v>
      </c>
    </row>
    <row r="1702" spans="1:21" ht="51">
      <c r="A1702" s="6">
        <v>43441.351261574076</v>
      </c>
      <c r="B1702" s="7" t="str">
        <f>HYPERLINK("https://twitter.com/benedic67688203","@benedic67688203")</f>
        <v>@benedic67688203</v>
      </c>
      <c r="C1702" s="8" t="s">
        <v>6508</v>
      </c>
      <c r="D1702" s="9" t="s">
        <v>6509</v>
      </c>
      <c r="E1702" s="10" t="str">
        <f>HYPERLINK("https://twitter.com/benedic67688203/status/1070942440515878912","1070942440515878912")</f>
        <v>1070942440515878912</v>
      </c>
      <c r="F1702" s="11"/>
      <c r="G1702" s="12" t="s">
        <v>6510</v>
      </c>
      <c r="H1702" s="11"/>
      <c r="I1702" s="13">
        <v>0</v>
      </c>
      <c r="J1702" s="13">
        <v>0</v>
      </c>
      <c r="K1702" s="14" t="str">
        <f t="shared" ref="K1702:K1703" si="292">HYPERLINK("http://twitter.com/download/android","Twitter for Android")</f>
        <v>Twitter for Android</v>
      </c>
      <c r="L1702" s="13">
        <v>71</v>
      </c>
      <c r="M1702" s="13">
        <v>53</v>
      </c>
      <c r="N1702" s="13">
        <v>0</v>
      </c>
      <c r="O1702" s="15"/>
      <c r="P1702" s="6">
        <v>43394.490300925929</v>
      </c>
      <c r="Q1702" s="18" t="s">
        <v>42</v>
      </c>
      <c r="R1702" s="19" t="s">
        <v>6511</v>
      </c>
      <c r="S1702" s="11"/>
      <c r="T1702" s="11"/>
      <c r="U1702" s="10" t="str">
        <f>HYPERLINK("https://pbs.twimg.com/profile_images/1070231340975579136/H-V-ZH5X.jpg","View")</f>
        <v>View</v>
      </c>
    </row>
    <row r="1703" spans="1:21" ht="51">
      <c r="A1703" s="6">
        <v>43441.350092592591</v>
      </c>
      <c r="B1703" s="7" t="str">
        <f>HYPERLINK("https://twitter.com/bel_f1","@bel_f1")</f>
        <v>@bel_f1</v>
      </c>
      <c r="C1703" s="8" t="s">
        <v>3368</v>
      </c>
      <c r="D1703" s="9" t="s">
        <v>3370</v>
      </c>
      <c r="E1703" s="10" t="str">
        <f>HYPERLINK("https://twitter.com/bel_f1/status/1070942017834885121","1070942017834885121")</f>
        <v>1070942017834885121</v>
      </c>
      <c r="F1703" s="11"/>
      <c r="G1703" s="12" t="s">
        <v>3371</v>
      </c>
      <c r="H1703" s="11"/>
      <c r="I1703" s="13">
        <v>0</v>
      </c>
      <c r="J1703" s="13">
        <v>1</v>
      </c>
      <c r="K1703" s="14" t="str">
        <f t="shared" si="292"/>
        <v>Twitter for Android</v>
      </c>
      <c r="L1703" s="13">
        <v>482</v>
      </c>
      <c r="M1703" s="13">
        <v>748</v>
      </c>
      <c r="N1703" s="13">
        <v>18</v>
      </c>
      <c r="O1703" s="15"/>
      <c r="P1703" s="6">
        <v>40949.52853009259</v>
      </c>
      <c r="Q1703" s="11"/>
      <c r="R1703" s="19" t="s">
        <v>3375</v>
      </c>
      <c r="S1703" s="11"/>
      <c r="T1703" s="11"/>
      <c r="U1703" s="10" t="str">
        <f>HYPERLINK("https://pbs.twimg.com/profile_images/569562624174858240/haa8CnF_.jpeg","View")</f>
        <v>View</v>
      </c>
    </row>
    <row r="1704" spans="1:21" ht="40.799999999999997">
      <c r="A1704" s="6">
        <v>43441.349074074074</v>
      </c>
      <c r="B1704" s="7" t="str">
        <f>HYPERLINK("https://twitter.com/jemahuja","@jemahuja")</f>
        <v>@jemahuja</v>
      </c>
      <c r="C1704" s="8" t="s">
        <v>2327</v>
      </c>
      <c r="D1704" s="9" t="s">
        <v>6512</v>
      </c>
      <c r="E1704" s="10" t="str">
        <f>HYPERLINK("https://twitter.com/jemahuja/status/1070941648987787264","1070941648987787264")</f>
        <v>1070941648987787264</v>
      </c>
      <c r="F1704" s="12" t="s">
        <v>6513</v>
      </c>
      <c r="G1704" s="11"/>
      <c r="H1704" s="11"/>
      <c r="I1704" s="13">
        <v>0</v>
      </c>
      <c r="J1704" s="13">
        <v>0</v>
      </c>
      <c r="K1704" s="14" t="str">
        <f>HYPERLINK("http://www.facebook.com/twitter","Facebook")</f>
        <v>Facebook</v>
      </c>
      <c r="L1704" s="13">
        <v>4865</v>
      </c>
      <c r="M1704" s="13">
        <v>5077</v>
      </c>
      <c r="N1704" s="13">
        <v>69</v>
      </c>
      <c r="O1704" s="15"/>
      <c r="P1704" s="6">
        <v>40624.647256944445</v>
      </c>
      <c r="Q1704" s="11"/>
      <c r="R1704" s="19" t="s">
        <v>2329</v>
      </c>
      <c r="S1704" s="12" t="s">
        <v>2330</v>
      </c>
      <c r="T1704" s="11"/>
      <c r="U1704" s="10" t="str">
        <f>HYPERLINK("https://pbs.twimg.com/profile_images/979014863442907137/Qus9jozf.jpg","View")</f>
        <v>View</v>
      </c>
    </row>
    <row r="1705" spans="1:21" ht="30.6">
      <c r="A1705" s="6">
        <v>43441.348576388889</v>
      </c>
      <c r="B1705" s="7" t="str">
        <f>HYPERLINK("https://twitter.com/CorreoDeMadrid","@CorreoDeMadrid")</f>
        <v>@CorreoDeMadrid</v>
      </c>
      <c r="C1705" s="8" t="s">
        <v>5177</v>
      </c>
      <c r="D1705" s="9" t="s">
        <v>5017</v>
      </c>
      <c r="E1705" s="10" t="str">
        <f>HYPERLINK("https://twitter.com/CorreoDeMadrid/status/1070941464996311040","1070941464996311040")</f>
        <v>1070941464996311040</v>
      </c>
      <c r="F1705" s="12" t="s">
        <v>4327</v>
      </c>
      <c r="G1705" s="11"/>
      <c r="H1705" s="11"/>
      <c r="I1705" s="13">
        <v>0</v>
      </c>
      <c r="J1705" s="13">
        <v>3</v>
      </c>
      <c r="K1705" s="14" t="str">
        <f>HYPERLINK("http://twitter.com","Twitter Web Client")</f>
        <v>Twitter Web Client</v>
      </c>
      <c r="L1705" s="13">
        <v>4219</v>
      </c>
      <c r="M1705" s="13">
        <v>830</v>
      </c>
      <c r="N1705" s="13">
        <v>111</v>
      </c>
      <c r="O1705" s="15"/>
      <c r="P1705" s="6">
        <v>41352.918842592597</v>
      </c>
      <c r="Q1705" s="18" t="s">
        <v>307</v>
      </c>
      <c r="R1705" s="19" t="s">
        <v>5178</v>
      </c>
      <c r="S1705" s="12" t="s">
        <v>5179</v>
      </c>
      <c r="T1705" s="11"/>
      <c r="U1705" s="10" t="str">
        <f>HYPERLINK("https://pbs.twimg.com/profile_images/1001503392605274112/SreMCx1u.jpg","View")</f>
        <v>View</v>
      </c>
    </row>
    <row r="1706" spans="1:21" ht="51">
      <c r="A1706" s="6">
        <v>43441.346238425926</v>
      </c>
      <c r="B1706" s="7" t="str">
        <f>HYPERLINK("https://twitter.com/Myotheryo1","@Myotheryo1")</f>
        <v>@Myotheryo1</v>
      </c>
      <c r="C1706" s="8" t="s">
        <v>3377</v>
      </c>
      <c r="D1706" s="9" t="s">
        <v>3378</v>
      </c>
      <c r="E1706" s="10" t="str">
        <f>HYPERLINK("https://twitter.com/Myotheryo1/status/1070940621265911808","1070940621265911808")</f>
        <v>1070940621265911808</v>
      </c>
      <c r="F1706" s="11"/>
      <c r="G1706" s="11"/>
      <c r="H1706" s="11"/>
      <c r="I1706" s="13">
        <v>16</v>
      </c>
      <c r="J1706" s="13">
        <v>36</v>
      </c>
      <c r="K1706" s="14" t="str">
        <f>HYPERLINK("http://twitter.com/download/android","Twitter for Android")</f>
        <v>Twitter for Android</v>
      </c>
      <c r="L1706" s="13">
        <v>397</v>
      </c>
      <c r="M1706" s="13">
        <v>1627</v>
      </c>
      <c r="N1706" s="13">
        <v>0</v>
      </c>
      <c r="O1706" s="15"/>
      <c r="P1706" s="6">
        <v>43436.881793981476</v>
      </c>
      <c r="Q1706" s="11"/>
      <c r="R1706" s="19" t="s">
        <v>3379</v>
      </c>
      <c r="S1706" s="11"/>
      <c r="T1706" s="11"/>
      <c r="U1706" s="10" t="str">
        <f>HYPERLINK("https://pbs.twimg.com/profile_images/1069329466332205056/kp2FvBTh.jpg","View")</f>
        <v>View</v>
      </c>
    </row>
    <row r="1707" spans="1:21" ht="40.799999999999997">
      <c r="A1707" s="6">
        <v>43441.345706018517</v>
      </c>
      <c r="B1707" s="7" t="str">
        <f>HYPERLINK("https://twitter.com/Sanfermin00","@Sanfermin00")</f>
        <v>@Sanfermin00</v>
      </c>
      <c r="C1707" s="8" t="s">
        <v>6514</v>
      </c>
      <c r="D1707" s="9" t="s">
        <v>6211</v>
      </c>
      <c r="E1707" s="10" t="str">
        <f>HYPERLINK("https://twitter.com/Sanfermin00/status/1070940426624999426","1070940426624999426")</f>
        <v>1070940426624999426</v>
      </c>
      <c r="F1707" s="12" t="s">
        <v>6212</v>
      </c>
      <c r="G1707" s="11"/>
      <c r="H1707" s="11"/>
      <c r="I1707" s="13">
        <v>0</v>
      </c>
      <c r="J1707" s="13">
        <v>0</v>
      </c>
      <c r="K1707" s="14" t="str">
        <f>HYPERLINK("http://twitter.com","Twitter Web Client")</f>
        <v>Twitter Web Client</v>
      </c>
      <c r="L1707" s="13">
        <v>16528</v>
      </c>
      <c r="M1707" s="13">
        <v>13714</v>
      </c>
      <c r="N1707" s="13">
        <v>122</v>
      </c>
      <c r="O1707" s="15"/>
      <c r="P1707" s="6">
        <v>42362.637083333335</v>
      </c>
      <c r="Q1707" s="18" t="s">
        <v>6515</v>
      </c>
      <c r="R1707" s="19" t="s">
        <v>6516</v>
      </c>
      <c r="S1707" s="12" t="s">
        <v>6517</v>
      </c>
      <c r="T1707" s="11"/>
      <c r="U1707" s="10" t="str">
        <f>HYPERLINK("https://pbs.twimg.com/profile_images/1064102923624480768/j11dV2-u.jpg","View")</f>
        <v>View</v>
      </c>
    </row>
    <row r="1708" spans="1:21" ht="20.399999999999999">
      <c r="A1708" s="6">
        <v>43441.345231481479</v>
      </c>
      <c r="B1708" s="7" t="str">
        <f>HYPERLINK("https://twitter.com/bepadgil","@bepadgil")</f>
        <v>@bepadgil</v>
      </c>
      <c r="C1708" s="8" t="s">
        <v>6518</v>
      </c>
      <c r="D1708" s="9" t="s">
        <v>6519</v>
      </c>
      <c r="E1708" s="10" t="str">
        <f>HYPERLINK("https://twitter.com/bepadgil/status/1070940253618401280","1070940253618401280")</f>
        <v>1070940253618401280</v>
      </c>
      <c r="F1708" s="11"/>
      <c r="G1708" s="11"/>
      <c r="H1708" s="11"/>
      <c r="I1708" s="13">
        <v>0</v>
      </c>
      <c r="J1708" s="13">
        <v>0</v>
      </c>
      <c r="K1708" s="14" t="str">
        <f t="shared" ref="K1708:K1709" si="293">HYPERLINK("http://twitter.com/download/android","Twitter for Android")</f>
        <v>Twitter for Android</v>
      </c>
      <c r="L1708" s="13">
        <v>21</v>
      </c>
      <c r="M1708" s="13">
        <v>95</v>
      </c>
      <c r="N1708" s="13">
        <v>1</v>
      </c>
      <c r="O1708" s="15"/>
      <c r="P1708" s="6">
        <v>42285.805462962962</v>
      </c>
      <c r="Q1708" s="11"/>
      <c r="R1708" s="17"/>
      <c r="S1708" s="11"/>
      <c r="T1708" s="11"/>
      <c r="U1708" s="16" t="s">
        <v>191</v>
      </c>
    </row>
    <row r="1709" spans="1:21" ht="30.6">
      <c r="A1709" s="6">
        <v>43441.345127314809</v>
      </c>
      <c r="B1709" s="7" t="str">
        <f>HYPERLINK("https://twitter.com/CabreadoIronico","@CabreadoIronico")</f>
        <v>@CabreadoIronico</v>
      </c>
      <c r="C1709" s="8" t="s">
        <v>1825</v>
      </c>
      <c r="D1709" s="9" t="s">
        <v>3382</v>
      </c>
      <c r="E1709" s="10" t="str">
        <f>HYPERLINK("https://twitter.com/CabreadoIronico/status/1070940216431648769","1070940216431648769")</f>
        <v>1070940216431648769</v>
      </c>
      <c r="F1709" s="12" t="s">
        <v>3383</v>
      </c>
      <c r="G1709" s="11"/>
      <c r="H1709" s="11"/>
      <c r="I1709" s="13">
        <v>0</v>
      </c>
      <c r="J1709" s="13">
        <v>1</v>
      </c>
      <c r="K1709" s="14" t="str">
        <f t="shared" si="293"/>
        <v>Twitter for Android</v>
      </c>
      <c r="L1709" s="13">
        <v>15</v>
      </c>
      <c r="M1709" s="13">
        <v>127</v>
      </c>
      <c r="N1709" s="13">
        <v>0</v>
      </c>
      <c r="O1709" s="15"/>
      <c r="P1709" s="6">
        <v>43438.227893518517</v>
      </c>
      <c r="Q1709" s="11"/>
      <c r="R1709" s="17"/>
      <c r="S1709" s="11"/>
      <c r="T1709" s="11"/>
      <c r="U1709" s="10" t="str">
        <f>HYPERLINK("https://pbs.twimg.com/profile_images/1069811905978687488/PVh96F51.jpg","View")</f>
        <v>View</v>
      </c>
    </row>
    <row r="1710" spans="1:21" ht="40.799999999999997">
      <c r="A1710" s="6">
        <v>43441.345092592594</v>
      </c>
      <c r="B1710" s="7" t="str">
        <f>HYPERLINK("https://twitter.com/RobertoRoby6767","@RobertoRoby6767")</f>
        <v>@RobertoRoby6767</v>
      </c>
      <c r="C1710" s="8" t="s">
        <v>6520</v>
      </c>
      <c r="D1710" s="9" t="s">
        <v>6521</v>
      </c>
      <c r="E1710" s="10" t="str">
        <f>HYPERLINK("https://twitter.com/RobertoRoby6767/status/1070940203873906688","1070940203873906688")</f>
        <v>1070940203873906688</v>
      </c>
      <c r="F1710" s="12" t="s">
        <v>5959</v>
      </c>
      <c r="G1710" s="11"/>
      <c r="H1710" s="11"/>
      <c r="I1710" s="13">
        <v>0</v>
      </c>
      <c r="J1710" s="13">
        <v>0</v>
      </c>
      <c r="K1710" s="14" t="str">
        <f>HYPERLINK("http://twitter.com","Twitter Web Client")</f>
        <v>Twitter Web Client</v>
      </c>
      <c r="L1710" s="13">
        <v>76</v>
      </c>
      <c r="M1710" s="13">
        <v>280</v>
      </c>
      <c r="N1710" s="13">
        <v>0</v>
      </c>
      <c r="O1710" s="15"/>
      <c r="P1710" s="6">
        <v>41561.366701388892</v>
      </c>
      <c r="Q1710" s="11"/>
      <c r="R1710" s="19" t="s">
        <v>6522</v>
      </c>
      <c r="S1710" s="11"/>
      <c r="T1710" s="11"/>
      <c r="U1710" s="10" t="str">
        <f>HYPERLINK("https://pbs.twimg.com/profile_images/746257266563760129/MEYEE6uE.jpg","View")</f>
        <v>View</v>
      </c>
    </row>
    <row r="1711" spans="1:21" ht="13.2">
      <c r="A1711" s="6">
        <v>43441.344166666662</v>
      </c>
      <c r="B1711" s="7" t="str">
        <f>HYPERLINK("https://twitter.com/carollm333","@carollm333")</f>
        <v>@carollm333</v>
      </c>
      <c r="C1711" s="8" t="s">
        <v>3386</v>
      </c>
      <c r="D1711" s="9" t="s">
        <v>3387</v>
      </c>
      <c r="E1711" s="10" t="str">
        <f>HYPERLINK("https://twitter.com/carollm333/status/1070939870632312832","1070939870632312832")</f>
        <v>1070939870632312832</v>
      </c>
      <c r="F1711" s="12" t="s">
        <v>3389</v>
      </c>
      <c r="G1711" s="11"/>
      <c r="H1711" s="11"/>
      <c r="I1711" s="13">
        <v>0</v>
      </c>
      <c r="J1711" s="13">
        <v>0</v>
      </c>
      <c r="K1711" s="14" t="str">
        <f>HYPERLINK("http://twitter.com/download/android","Twitter for Android")</f>
        <v>Twitter for Android</v>
      </c>
      <c r="L1711" s="13">
        <v>1219</v>
      </c>
      <c r="M1711" s="13">
        <v>1042</v>
      </c>
      <c r="N1711" s="13">
        <v>78</v>
      </c>
      <c r="O1711" s="15"/>
      <c r="P1711" s="6">
        <v>40577.811874999999</v>
      </c>
      <c r="Q1711" s="11"/>
      <c r="R1711" s="17"/>
      <c r="S1711" s="11"/>
      <c r="T1711" s="11"/>
      <c r="U1711" s="10" t="str">
        <f>HYPERLINK("https://pbs.twimg.com/profile_images/1002860850015817729/9pVXZX1m.jpg","View")</f>
        <v>View</v>
      </c>
    </row>
    <row r="1712" spans="1:21" ht="40.799999999999997">
      <c r="A1712" s="6">
        <v>43441.3441087963</v>
      </c>
      <c r="B1712" s="7" t="str">
        <f>HYPERLINK("https://twitter.com/racle7","@racle7")</f>
        <v>@racle7</v>
      </c>
      <c r="C1712" s="8" t="s">
        <v>6523</v>
      </c>
      <c r="D1712" s="9" t="s">
        <v>6050</v>
      </c>
      <c r="E1712" s="10" t="str">
        <f>HYPERLINK("https://twitter.com/racle7/status/1070939846611492864","1070939846611492864")</f>
        <v>1070939846611492864</v>
      </c>
      <c r="F1712" s="12" t="s">
        <v>6524</v>
      </c>
      <c r="G1712" s="11"/>
      <c r="H1712" s="11"/>
      <c r="I1712" s="13">
        <v>0</v>
      </c>
      <c r="J1712" s="13">
        <v>0</v>
      </c>
      <c r="K1712" s="14" t="str">
        <f t="shared" ref="K1712:K1713" si="294">HYPERLINK("http://twitter.com","Twitter Web Client")</f>
        <v>Twitter Web Client</v>
      </c>
      <c r="L1712" s="13">
        <v>2717</v>
      </c>
      <c r="M1712" s="13">
        <v>2769</v>
      </c>
      <c r="N1712" s="13">
        <v>51</v>
      </c>
      <c r="O1712" s="15"/>
      <c r="P1712" s="6">
        <v>40457.914456018516</v>
      </c>
      <c r="Q1712" s="11"/>
      <c r="R1712" s="19" t="s">
        <v>6525</v>
      </c>
      <c r="S1712" s="11"/>
      <c r="T1712" s="11"/>
      <c r="U1712" s="10" t="str">
        <f>HYPERLINK("https://pbs.twimg.com/profile_images/2103468825/1498.gif","View")</f>
        <v>View</v>
      </c>
    </row>
    <row r="1713" spans="1:21" ht="30.6">
      <c r="A1713" s="6">
        <v>43441.342569444445</v>
      </c>
      <c r="B1713" s="7" t="str">
        <f>HYPERLINK("https://twitter.com/M_AguilarBordas","@M_AguilarBordas")</f>
        <v>@M_AguilarBordas</v>
      </c>
      <c r="C1713" s="8" t="s">
        <v>635</v>
      </c>
      <c r="D1713" s="9" t="s">
        <v>5958</v>
      </c>
      <c r="E1713" s="10" t="str">
        <f>HYPERLINK("https://twitter.com/M_AguilarBordas/status/1070939290350247936","1070939290350247936")</f>
        <v>1070939290350247936</v>
      </c>
      <c r="F1713" s="12" t="s">
        <v>5959</v>
      </c>
      <c r="G1713" s="11"/>
      <c r="H1713" s="11"/>
      <c r="I1713" s="13">
        <v>0</v>
      </c>
      <c r="J1713" s="13">
        <v>0</v>
      </c>
      <c r="K1713" s="14" t="str">
        <f t="shared" si="294"/>
        <v>Twitter Web Client</v>
      </c>
      <c r="L1713" s="13">
        <v>995</v>
      </c>
      <c r="M1713" s="13">
        <v>1262</v>
      </c>
      <c r="N1713" s="13">
        <v>24</v>
      </c>
      <c r="O1713" s="15"/>
      <c r="P1713" s="6">
        <v>40386.775057870371</v>
      </c>
      <c r="Q1713" s="11"/>
      <c r="R1713" s="17"/>
      <c r="S1713" s="11"/>
      <c r="T1713" s="11"/>
      <c r="U1713" s="10" t="str">
        <f>HYPERLINK("https://pbs.twimg.com/profile_images/1048097238034079744/1kPZYdqG.jpg","View")</f>
        <v>View</v>
      </c>
    </row>
    <row r="1714" spans="1:21" ht="30.6">
      <c r="A1714" s="6">
        <v>43441.342256944445</v>
      </c>
      <c r="B1714" s="7" t="str">
        <f>HYPERLINK("https://twitter.com/ghssshh","@ghssshh")</f>
        <v>@ghssshh</v>
      </c>
      <c r="C1714" s="8" t="s">
        <v>6526</v>
      </c>
      <c r="D1714" s="9" t="s">
        <v>6527</v>
      </c>
      <c r="E1714" s="10" t="str">
        <f>HYPERLINK("https://twitter.com/ghssshh/status/1070939174788837376","1070939174788837376")</f>
        <v>1070939174788837376</v>
      </c>
      <c r="F1714" s="11"/>
      <c r="G1714" s="11"/>
      <c r="H1714" s="11"/>
      <c r="I1714" s="13">
        <v>0</v>
      </c>
      <c r="J1714" s="13">
        <v>0</v>
      </c>
      <c r="K1714" s="14" t="str">
        <f>HYPERLINK("http://twitter.com/download/android","Twitter for Android")</f>
        <v>Twitter for Android</v>
      </c>
      <c r="L1714" s="13">
        <v>116</v>
      </c>
      <c r="M1714" s="13">
        <v>44</v>
      </c>
      <c r="N1714" s="13">
        <v>2</v>
      </c>
      <c r="O1714" s="15"/>
      <c r="P1714" s="6">
        <v>41988.953831018516</v>
      </c>
      <c r="Q1714" s="11"/>
      <c r="R1714" s="19" t="s">
        <v>6528</v>
      </c>
      <c r="S1714" s="11"/>
      <c r="T1714" s="11"/>
      <c r="U1714" s="10" t="str">
        <f>HYPERLINK("https://pbs.twimg.com/profile_images/949597320273891328/udY9dMOO.jpg","View")</f>
        <v>View</v>
      </c>
    </row>
    <row r="1715" spans="1:21" ht="71.400000000000006">
      <c r="A1715" s="6">
        <v>43441.341226851851</v>
      </c>
      <c r="B1715" s="7" t="str">
        <f>HYPERLINK("https://twitter.com/BrucGerard","@BrucGerard")</f>
        <v>@BrucGerard</v>
      </c>
      <c r="C1715" s="8" t="s">
        <v>3392</v>
      </c>
      <c r="D1715" s="9" t="s">
        <v>3393</v>
      </c>
      <c r="E1715" s="10" t="str">
        <f>HYPERLINK("https://twitter.com/BrucGerard/status/1070938802645012480","1070938802645012480")</f>
        <v>1070938802645012480</v>
      </c>
      <c r="F1715" s="12" t="s">
        <v>3244</v>
      </c>
      <c r="G1715" s="12" t="s">
        <v>2604</v>
      </c>
      <c r="H1715" s="11"/>
      <c r="I1715" s="13">
        <v>2</v>
      </c>
      <c r="J1715" s="13">
        <v>1</v>
      </c>
      <c r="K1715" s="14" t="str">
        <f t="shared" ref="K1715:K1716" si="295">HYPERLINK("http://twitter.com/download/iphone","Twitter for iPhone")</f>
        <v>Twitter for iPhone</v>
      </c>
      <c r="L1715" s="13">
        <v>122</v>
      </c>
      <c r="M1715" s="13">
        <v>349</v>
      </c>
      <c r="N1715" s="13">
        <v>0</v>
      </c>
      <c r="O1715" s="15"/>
      <c r="P1715" s="6">
        <v>43272.603587962964</v>
      </c>
      <c r="Q1715" s="18" t="s">
        <v>1857</v>
      </c>
      <c r="R1715" s="19" t="s">
        <v>3398</v>
      </c>
      <c r="S1715" s="11"/>
      <c r="T1715" s="11"/>
      <c r="U1715" s="10" t="str">
        <f>HYPERLINK("https://pbs.twimg.com/profile_images/1037443189731467265/KaKLRCsV.jpg","View")</f>
        <v>View</v>
      </c>
    </row>
    <row r="1716" spans="1:21" ht="30.6">
      <c r="A1716" s="6">
        <v>43441.340995370367</v>
      </c>
      <c r="B1716" s="7" t="str">
        <f>HYPERLINK("https://twitter.com/HiponaProyecto","@HiponaProyecto")</f>
        <v>@HiponaProyecto</v>
      </c>
      <c r="C1716" s="8" t="s">
        <v>3403</v>
      </c>
      <c r="D1716" s="9" t="s">
        <v>3404</v>
      </c>
      <c r="E1716" s="10" t="str">
        <f>HYPERLINK("https://twitter.com/HiponaProyecto/status/1070938721107755008","1070938721107755008")</f>
        <v>1070938721107755008</v>
      </c>
      <c r="F1716" s="12" t="s">
        <v>2025</v>
      </c>
      <c r="G1716" s="11"/>
      <c r="H1716" s="11"/>
      <c r="I1716" s="13">
        <v>2</v>
      </c>
      <c r="J1716" s="13">
        <v>2</v>
      </c>
      <c r="K1716" s="14" t="str">
        <f t="shared" si="295"/>
        <v>Twitter for iPhone</v>
      </c>
      <c r="L1716" s="13">
        <v>809</v>
      </c>
      <c r="M1716" s="13">
        <v>3999</v>
      </c>
      <c r="N1716" s="13">
        <v>0</v>
      </c>
      <c r="O1716" s="15"/>
      <c r="P1716" s="6">
        <v>43309.350370370375</v>
      </c>
      <c r="Q1716" s="11"/>
      <c r="R1716" s="19" t="s">
        <v>3407</v>
      </c>
      <c r="S1716" s="11"/>
      <c r="T1716" s="11"/>
      <c r="U1716" s="10" t="str">
        <f>HYPERLINK("https://pbs.twimg.com/profile_images/1023181003546865664/wChmnsq-.jpg","View")</f>
        <v>View</v>
      </c>
    </row>
    <row r="1717" spans="1:21" ht="20.399999999999999">
      <c r="A1717" s="6">
        <v>43441.340914351851</v>
      </c>
      <c r="B1717" s="7" t="str">
        <f>HYPERLINK("https://twitter.com/PCasasimarro","@PCasasimarro")</f>
        <v>@PCasasimarro</v>
      </c>
      <c r="C1717" s="8" t="s">
        <v>6529</v>
      </c>
      <c r="D1717" s="9" t="s">
        <v>6340</v>
      </c>
      <c r="E1717" s="10" t="str">
        <f>HYPERLINK("https://twitter.com/PCasasimarro/status/1070938692171300864","1070938692171300864")</f>
        <v>1070938692171300864</v>
      </c>
      <c r="F1717" s="12" t="s">
        <v>6436</v>
      </c>
      <c r="G1717" s="11"/>
      <c r="H1717" s="11"/>
      <c r="I1717" s="13">
        <v>0</v>
      </c>
      <c r="J1717" s="13">
        <v>0</v>
      </c>
      <c r="K1717" s="14" t="str">
        <f>HYPERLINK("http://www.facebook.com/twitter","Facebook")</f>
        <v>Facebook</v>
      </c>
      <c r="L1717" s="13">
        <v>136</v>
      </c>
      <c r="M1717" s="13">
        <v>274</v>
      </c>
      <c r="N1717" s="13">
        <v>2</v>
      </c>
      <c r="O1717" s="15"/>
      <c r="P1717" s="6">
        <v>42004.634479166663</v>
      </c>
      <c r="Q1717" s="11"/>
      <c r="R1717" s="19" t="s">
        <v>6530</v>
      </c>
      <c r="S1717" s="11"/>
      <c r="T1717" s="11"/>
      <c r="U1717" s="10" t="str">
        <f>HYPERLINK("https://pbs.twimg.com/profile_images/1070008246012915712/-BC4i72P.jpg","View")</f>
        <v>View</v>
      </c>
    </row>
    <row r="1718" spans="1:21" ht="30.6">
      <c r="A1718" s="6">
        <v>43441.340763888889</v>
      </c>
      <c r="B1718" s="7" t="str">
        <f>HYPERLINK("https://twitter.com/LuisAlb87688384","@LuisAlb87688384")</f>
        <v>@LuisAlb87688384</v>
      </c>
      <c r="C1718" s="8" t="s">
        <v>2084</v>
      </c>
      <c r="D1718" s="9" t="s">
        <v>6008</v>
      </c>
      <c r="E1718" s="10" t="str">
        <f>HYPERLINK("https://twitter.com/LuisAlb87688384/status/1070938636508647425","1070938636508647425")</f>
        <v>1070938636508647425</v>
      </c>
      <c r="F1718" s="12" t="s">
        <v>5842</v>
      </c>
      <c r="G1718" s="11"/>
      <c r="H1718" s="11"/>
      <c r="I1718" s="13">
        <v>1</v>
      </c>
      <c r="J1718" s="13">
        <v>1</v>
      </c>
      <c r="K1718" s="14" t="str">
        <f>HYPERLINK("http://twitter.com/download/android","Twitter for Android")</f>
        <v>Twitter for Android</v>
      </c>
      <c r="L1718" s="13">
        <v>55</v>
      </c>
      <c r="M1718" s="13">
        <v>67</v>
      </c>
      <c r="N1718" s="13">
        <v>0</v>
      </c>
      <c r="O1718" s="15"/>
      <c r="P1718" s="6">
        <v>42641.939305555556</v>
      </c>
      <c r="Q1718" s="11"/>
      <c r="R1718" s="19" t="s">
        <v>2085</v>
      </c>
      <c r="S1718" s="11"/>
      <c r="T1718" s="11"/>
      <c r="U1718" s="10" t="str">
        <f>HYPERLINK("https://pbs.twimg.com/profile_images/934800927193780225/pAs7j9sw.jpg","View")</f>
        <v>View</v>
      </c>
    </row>
    <row r="1719" spans="1:21" ht="30.6">
      <c r="A1719" s="6">
        <v>43441.34070601852</v>
      </c>
      <c r="B1719" s="7" t="str">
        <f>HYPERLINK("https://twitter.com/MasDeUno","@MasDeUno")</f>
        <v>@MasDeUno</v>
      </c>
      <c r="C1719" s="8" t="s">
        <v>6531</v>
      </c>
      <c r="D1719" s="9" t="s">
        <v>6532</v>
      </c>
      <c r="E1719" s="10" t="str">
        <f>HYPERLINK("https://twitter.com/MasDeUno/status/1070938614664781824","1070938614664781824")</f>
        <v>1070938614664781824</v>
      </c>
      <c r="F1719" s="12" t="s">
        <v>6533</v>
      </c>
      <c r="G1719" s="12" t="s">
        <v>6534</v>
      </c>
      <c r="H1719" s="11"/>
      <c r="I1719" s="13">
        <v>4</v>
      </c>
      <c r="J1719" s="13">
        <v>15</v>
      </c>
      <c r="K1719" s="14" t="str">
        <f>HYPERLINK("http://twitter.com","Twitter Web Client")</f>
        <v>Twitter Web Client</v>
      </c>
      <c r="L1719" s="13">
        <v>49761</v>
      </c>
      <c r="M1719" s="13">
        <v>261</v>
      </c>
      <c r="N1719" s="13">
        <v>507</v>
      </c>
      <c r="O1719" s="16" t="s">
        <v>25</v>
      </c>
      <c r="P1719" s="6">
        <v>42088.51399305556</v>
      </c>
      <c r="Q1719" s="11"/>
      <c r="R1719" s="19" t="s">
        <v>6535</v>
      </c>
      <c r="S1719" s="12" t="s">
        <v>6536</v>
      </c>
      <c r="T1719" s="11"/>
      <c r="U1719" s="10" t="str">
        <f>HYPERLINK("https://pbs.twimg.com/profile_images/581419702653698048/nUHjNg6A.jpg","View")</f>
        <v>View</v>
      </c>
    </row>
    <row r="1720" spans="1:21" ht="20.399999999999999">
      <c r="A1720" s="6">
        <v>43441.340347222227</v>
      </c>
      <c r="B1720" s="7" t="str">
        <f>HYPERLINK("https://twitter.com/MeryValver","@MeryValver")</f>
        <v>@MeryValver</v>
      </c>
      <c r="C1720" s="8" t="s">
        <v>789</v>
      </c>
      <c r="D1720" s="9" t="s">
        <v>6537</v>
      </c>
      <c r="E1720" s="10" t="str">
        <f>HYPERLINK("https://twitter.com/MeryValver/status/1070938486155460608","1070938486155460608")</f>
        <v>1070938486155460608</v>
      </c>
      <c r="F1720" s="11"/>
      <c r="G1720" s="11"/>
      <c r="H1720" s="11"/>
      <c r="I1720" s="13">
        <v>0</v>
      </c>
      <c r="J1720" s="13">
        <v>1</v>
      </c>
      <c r="K1720" s="14" t="str">
        <f>HYPERLINK("http://twitter.com/download/iphone","Twitter for iPhone")</f>
        <v>Twitter for iPhone</v>
      </c>
      <c r="L1720" s="13">
        <v>776</v>
      </c>
      <c r="M1720" s="13">
        <v>374</v>
      </c>
      <c r="N1720" s="13">
        <v>28</v>
      </c>
      <c r="O1720" s="15"/>
      <c r="P1720" s="6">
        <v>40375.935115740736</v>
      </c>
      <c r="Q1720" s="18" t="s">
        <v>5122</v>
      </c>
      <c r="R1720" s="17"/>
      <c r="S1720" s="11"/>
      <c r="T1720" s="11"/>
      <c r="U1720" s="10" t="str">
        <f>HYPERLINK("https://pbs.twimg.com/profile_images/1042418207276101633/xUSkrQBL.jpg","View")</f>
        <v>View</v>
      </c>
    </row>
    <row r="1721" spans="1:21" ht="20.399999999999999">
      <c r="A1721" s="6">
        <v>43441.33997685185</v>
      </c>
      <c r="B1721" s="7" t="str">
        <f>HYPERLINK("https://twitter.com/LuisAlb87688384","@LuisAlb87688384")</f>
        <v>@LuisAlb87688384</v>
      </c>
      <c r="C1721" s="8" t="s">
        <v>2084</v>
      </c>
      <c r="D1721" s="9" t="s">
        <v>3314</v>
      </c>
      <c r="E1721" s="10" t="str">
        <f>HYPERLINK("https://twitter.com/LuisAlb87688384/status/1070938350268375040","1070938350268375040")</f>
        <v>1070938350268375040</v>
      </c>
      <c r="F1721" s="12" t="s">
        <v>40</v>
      </c>
      <c r="G1721" s="11"/>
      <c r="H1721" s="11"/>
      <c r="I1721" s="13">
        <v>0</v>
      </c>
      <c r="J1721" s="13">
        <v>0</v>
      </c>
      <c r="K1721" s="14" t="str">
        <f>HYPERLINK("http://twitter.com/download/android","Twitter for Android")</f>
        <v>Twitter for Android</v>
      </c>
      <c r="L1721" s="13">
        <v>55</v>
      </c>
      <c r="M1721" s="13">
        <v>67</v>
      </c>
      <c r="N1721" s="13">
        <v>0</v>
      </c>
      <c r="O1721" s="15"/>
      <c r="P1721" s="6">
        <v>42641.939305555556</v>
      </c>
      <c r="Q1721" s="11"/>
      <c r="R1721" s="19" t="s">
        <v>2085</v>
      </c>
      <c r="S1721" s="11"/>
      <c r="T1721" s="11"/>
      <c r="U1721" s="10" t="str">
        <f>HYPERLINK("https://pbs.twimg.com/profile_images/934800927193780225/pAs7j9sw.jpg","View")</f>
        <v>View</v>
      </c>
    </row>
    <row r="1722" spans="1:21" ht="40.799999999999997">
      <c r="A1722" s="6">
        <v>43441.339444444442</v>
      </c>
      <c r="B1722" s="7" t="str">
        <f>HYPERLINK("https://twitter.com/Belenspdfr","@Belenspdfr")</f>
        <v>@Belenspdfr</v>
      </c>
      <c r="C1722" s="8" t="s">
        <v>3408</v>
      </c>
      <c r="D1722" s="9" t="s">
        <v>3409</v>
      </c>
      <c r="E1722" s="10" t="str">
        <f>HYPERLINK("https://twitter.com/Belenspdfr/status/1070938156831334400","1070938156831334400")</f>
        <v>1070938156831334400</v>
      </c>
      <c r="F1722" s="11"/>
      <c r="G1722" s="11"/>
      <c r="H1722" s="11"/>
      <c r="I1722" s="13">
        <v>3</v>
      </c>
      <c r="J1722" s="13">
        <v>5</v>
      </c>
      <c r="K1722" s="14" t="str">
        <f>HYPERLINK("http://twitter.com/#!/download/ipad","Twitter for iPad")</f>
        <v>Twitter for iPad</v>
      </c>
      <c r="L1722" s="13">
        <v>2816</v>
      </c>
      <c r="M1722" s="13">
        <v>2949</v>
      </c>
      <c r="N1722" s="13">
        <v>34</v>
      </c>
      <c r="O1722" s="15"/>
      <c r="P1722" s="6">
        <v>40753.715474537035</v>
      </c>
      <c r="Q1722" s="11"/>
      <c r="R1722" s="17"/>
      <c r="S1722" s="11"/>
      <c r="T1722" s="11"/>
      <c r="U1722" s="10" t="str">
        <f>HYPERLINK("https://pbs.twimg.com/profile_images/1055105740753588225/Jikye9ql.jpg","View")</f>
        <v>View</v>
      </c>
    </row>
    <row r="1723" spans="1:21" ht="102">
      <c r="A1723" s="6">
        <v>43441.339039351849</v>
      </c>
      <c r="B1723" s="7" t="str">
        <f>HYPERLINK("https://twitter.com/XaviBurgos1","@XaviBurgos1")</f>
        <v>@XaviBurgos1</v>
      </c>
      <c r="C1723" s="8" t="s">
        <v>2664</v>
      </c>
      <c r="D1723" s="9" t="s">
        <v>3410</v>
      </c>
      <c r="E1723" s="10" t="str">
        <f>HYPERLINK("https://twitter.com/XaviBurgos1/status/1070938010554953728","1070938010554953728")</f>
        <v>1070938010554953728</v>
      </c>
      <c r="F1723" s="12" t="s">
        <v>3412</v>
      </c>
      <c r="G1723" s="11"/>
      <c r="H1723" s="11"/>
      <c r="I1723" s="13">
        <v>3</v>
      </c>
      <c r="J1723" s="13">
        <v>4</v>
      </c>
      <c r="K1723" s="14" t="str">
        <f>HYPERLINK("http://twitter.com/download/android","Twitter for Android")</f>
        <v>Twitter for Android</v>
      </c>
      <c r="L1723" s="13">
        <v>1760</v>
      </c>
      <c r="M1723" s="13">
        <v>5000</v>
      </c>
      <c r="N1723" s="13">
        <v>91</v>
      </c>
      <c r="O1723" s="15"/>
      <c r="P1723" s="6">
        <v>42182.93167824074</v>
      </c>
      <c r="Q1723" s="18" t="s">
        <v>2669</v>
      </c>
      <c r="R1723" s="19" t="s">
        <v>2670</v>
      </c>
      <c r="S1723" s="11"/>
      <c r="T1723" s="11"/>
      <c r="U1723" s="10" t="str">
        <f>HYPERLINK("https://pbs.twimg.com/profile_images/1068435957991522304/2Mytzabn.jpg","View")</f>
        <v>View</v>
      </c>
    </row>
    <row r="1724" spans="1:21" ht="40.799999999999997">
      <c r="A1724" s="6">
        <v>43441.33756944444</v>
      </c>
      <c r="B1724" s="7" t="str">
        <f>HYPERLINK("https://twitter.com/Sanfermin00","@Sanfermin00")</f>
        <v>@Sanfermin00</v>
      </c>
      <c r="C1724" s="8" t="s">
        <v>6514</v>
      </c>
      <c r="D1724" s="9" t="s">
        <v>5958</v>
      </c>
      <c r="E1724" s="10" t="str">
        <f>HYPERLINK("https://twitter.com/Sanfermin00/status/1070937476120895488","1070937476120895488")</f>
        <v>1070937476120895488</v>
      </c>
      <c r="F1724" s="12" t="s">
        <v>5959</v>
      </c>
      <c r="G1724" s="11"/>
      <c r="H1724" s="11"/>
      <c r="I1724" s="13">
        <v>0</v>
      </c>
      <c r="J1724" s="13">
        <v>1</v>
      </c>
      <c r="K1724" s="14" t="str">
        <f>HYPERLINK("http://twitter.com","Twitter Web Client")</f>
        <v>Twitter Web Client</v>
      </c>
      <c r="L1724" s="13">
        <v>16528</v>
      </c>
      <c r="M1724" s="13">
        <v>13714</v>
      </c>
      <c r="N1724" s="13">
        <v>122</v>
      </c>
      <c r="O1724" s="15"/>
      <c r="P1724" s="6">
        <v>42362.637083333335</v>
      </c>
      <c r="Q1724" s="18" t="s">
        <v>6515</v>
      </c>
      <c r="R1724" s="19" t="s">
        <v>6516</v>
      </c>
      <c r="S1724" s="12" t="s">
        <v>6517</v>
      </c>
      <c r="T1724" s="11"/>
      <c r="U1724" s="10" t="str">
        <f>HYPERLINK("https://pbs.twimg.com/profile_images/1064102923624480768/j11dV2-u.jpg","View")</f>
        <v>View</v>
      </c>
    </row>
    <row r="1725" spans="1:21" ht="40.799999999999997">
      <c r="A1725" s="6">
        <v>43441.336608796293</v>
      </c>
      <c r="B1725" s="7" t="str">
        <f>HYPERLINK("https://twitter.com/Danialri","@Danialri")</f>
        <v>@Danialri</v>
      </c>
      <c r="C1725" s="8" t="s">
        <v>3413</v>
      </c>
      <c r="D1725" s="9" t="s">
        <v>3414</v>
      </c>
      <c r="E1725" s="10" t="str">
        <f>HYPERLINK("https://twitter.com/Danialri/status/1070937131802075136","1070937131802075136")</f>
        <v>1070937131802075136</v>
      </c>
      <c r="F1725" s="11"/>
      <c r="G1725" s="12" t="s">
        <v>3416</v>
      </c>
      <c r="H1725" s="11"/>
      <c r="I1725" s="13">
        <v>0</v>
      </c>
      <c r="J1725" s="13">
        <v>2</v>
      </c>
      <c r="K1725" s="14" t="str">
        <f>HYPERLINK("http://twitter.com/download/android","Twitter for Android")</f>
        <v>Twitter for Android</v>
      </c>
      <c r="L1725" s="13">
        <v>3492</v>
      </c>
      <c r="M1725" s="13">
        <v>572</v>
      </c>
      <c r="N1725" s="13">
        <v>59</v>
      </c>
      <c r="O1725" s="15"/>
      <c r="P1725" s="6">
        <v>40479.495196759257</v>
      </c>
      <c r="Q1725" s="11"/>
      <c r="R1725" s="19" t="s">
        <v>3417</v>
      </c>
      <c r="S1725" s="11"/>
      <c r="T1725" s="11"/>
      <c r="U1725" s="10" t="str">
        <f>HYPERLINK("https://pbs.twimg.com/profile_images/1023231297781727232/2me_a_1s.jpg","View")</f>
        <v>View</v>
      </c>
    </row>
    <row r="1726" spans="1:21" ht="20.399999999999999">
      <c r="A1726" s="6">
        <v>43441.335763888885</v>
      </c>
      <c r="B1726" s="7" t="str">
        <f>HYPERLINK("https://twitter.com/SpainLuis","@SpainLuis")</f>
        <v>@SpainLuis</v>
      </c>
      <c r="C1726" s="8" t="s">
        <v>6538</v>
      </c>
      <c r="D1726" s="9" t="s">
        <v>5054</v>
      </c>
      <c r="E1726" s="10" t="str">
        <f>HYPERLINK("https://twitter.com/SpainLuis/status/1070936825781518341","1070936825781518341")</f>
        <v>1070936825781518341</v>
      </c>
      <c r="F1726" s="12" t="s">
        <v>5055</v>
      </c>
      <c r="G1726" s="11"/>
      <c r="H1726" s="11"/>
      <c r="I1726" s="13">
        <v>1</v>
      </c>
      <c r="J1726" s="13">
        <v>0</v>
      </c>
      <c r="K1726" s="14" t="str">
        <f>HYPERLINK("http://twitter.com","Twitter Web Client")</f>
        <v>Twitter Web Client</v>
      </c>
      <c r="L1726" s="13">
        <v>50</v>
      </c>
      <c r="M1726" s="13">
        <v>56</v>
      </c>
      <c r="N1726" s="13">
        <v>0</v>
      </c>
      <c r="O1726" s="15"/>
      <c r="P1726" s="6">
        <v>40687.425324074073</v>
      </c>
      <c r="Q1726" s="18" t="s">
        <v>6539</v>
      </c>
      <c r="R1726" s="17"/>
      <c r="S1726" s="11"/>
      <c r="T1726" s="11"/>
      <c r="U1726" s="10" t="str">
        <f>HYPERLINK("https://pbs.twimg.com/profile_images/695158240351485952/Py8dIR8G.jpg","View")</f>
        <v>View</v>
      </c>
    </row>
    <row r="1727" spans="1:21" ht="112.2">
      <c r="A1727" s="6">
        <v>43441.332083333335</v>
      </c>
      <c r="B1727" s="7" t="str">
        <f>HYPERLINK("https://twitter.com/anitroi","@anitroi")</f>
        <v>@anitroi</v>
      </c>
      <c r="C1727" s="8" t="s">
        <v>6540</v>
      </c>
      <c r="D1727" s="9" t="s">
        <v>6541</v>
      </c>
      <c r="E1727" s="10" t="str">
        <f>HYPERLINK("https://twitter.com/anitroi/status/1070935488561901568","1070935488561901568")</f>
        <v>1070935488561901568</v>
      </c>
      <c r="F1727" s="12" t="s">
        <v>6542</v>
      </c>
      <c r="G1727" s="12" t="s">
        <v>2683</v>
      </c>
      <c r="H1727" s="11"/>
      <c r="I1727" s="13">
        <v>0</v>
      </c>
      <c r="J1727" s="13">
        <v>0</v>
      </c>
      <c r="K1727" s="14" t="str">
        <f t="shared" ref="K1727:K1728" si="296">HYPERLINK("http://twitter.com/download/android","Twitter for Android")</f>
        <v>Twitter for Android</v>
      </c>
      <c r="L1727" s="13">
        <v>278</v>
      </c>
      <c r="M1727" s="13">
        <v>739</v>
      </c>
      <c r="N1727" s="13">
        <v>0</v>
      </c>
      <c r="O1727" s="15"/>
      <c r="P1727" s="6">
        <v>40314.699930555558</v>
      </c>
      <c r="Q1727" s="18" t="s">
        <v>1857</v>
      </c>
      <c r="R1727" s="19" t="s">
        <v>6543</v>
      </c>
      <c r="S1727" s="11"/>
      <c r="T1727" s="11"/>
      <c r="U1727" s="10" t="str">
        <f>HYPERLINK("https://pbs.twimg.com/profile_images/1031473930165473280/DUricjVm.jpg","View")</f>
        <v>View</v>
      </c>
    </row>
    <row r="1728" spans="1:21" ht="51">
      <c r="A1728" s="6">
        <v>43441.327986111108</v>
      </c>
      <c r="B1728" s="7" t="str">
        <f>HYPERLINK("https://twitter.com/RuyDeClavijo","@RuyDeClavijo")</f>
        <v>@RuyDeClavijo</v>
      </c>
      <c r="C1728" s="8" t="s">
        <v>6544</v>
      </c>
      <c r="D1728" s="9" t="s">
        <v>6545</v>
      </c>
      <c r="E1728" s="10" t="str">
        <f>HYPERLINK("https://twitter.com/RuyDeClavijo/status/1070934005900566528","1070934005900566528")</f>
        <v>1070934005900566528</v>
      </c>
      <c r="F1728" s="11"/>
      <c r="G1728" s="12" t="s">
        <v>6546</v>
      </c>
      <c r="H1728" s="11"/>
      <c r="I1728" s="13">
        <v>1</v>
      </c>
      <c r="J1728" s="13">
        <v>2</v>
      </c>
      <c r="K1728" s="14" t="str">
        <f t="shared" si="296"/>
        <v>Twitter for Android</v>
      </c>
      <c r="L1728" s="13">
        <v>15392</v>
      </c>
      <c r="M1728" s="13">
        <v>14381</v>
      </c>
      <c r="N1728" s="13">
        <v>100</v>
      </c>
      <c r="O1728" s="15"/>
      <c r="P1728" s="6">
        <v>41213.966956018521</v>
      </c>
      <c r="Q1728" s="18" t="s">
        <v>6547</v>
      </c>
      <c r="R1728" s="19" t="s">
        <v>6548</v>
      </c>
      <c r="S1728" s="11"/>
      <c r="T1728" s="11"/>
      <c r="U1728" s="10" t="str">
        <f>HYPERLINK("https://pbs.twimg.com/profile_images/1067703361405952000/iesJiOfc.jpg","View")</f>
        <v>View</v>
      </c>
    </row>
    <row r="1729" spans="1:21" ht="20.399999999999999">
      <c r="A1729" s="6">
        <v>43441.327835648146</v>
      </c>
      <c r="B1729" s="7" t="str">
        <f>HYPERLINK("https://twitter.com/virpb","@virpb")</f>
        <v>@virpb</v>
      </c>
      <c r="C1729" s="8" t="s">
        <v>2954</v>
      </c>
      <c r="D1729" s="9" t="s">
        <v>6549</v>
      </c>
      <c r="E1729" s="10" t="str">
        <f>HYPERLINK("https://twitter.com/virpb/status/1070933951311724545","1070933951311724545")</f>
        <v>1070933951311724545</v>
      </c>
      <c r="F1729" s="11"/>
      <c r="G1729" s="12" t="s">
        <v>6550</v>
      </c>
      <c r="H1729" s="11"/>
      <c r="I1729" s="13">
        <v>1</v>
      </c>
      <c r="J1729" s="13">
        <v>6</v>
      </c>
      <c r="K1729" s="14" t="str">
        <f>HYPERLINK("http://twitter.com/download/iphone","Twitter for iPhone")</f>
        <v>Twitter for iPhone</v>
      </c>
      <c r="L1729" s="13">
        <v>3012</v>
      </c>
      <c r="M1729" s="13">
        <v>1056</v>
      </c>
      <c r="N1729" s="13">
        <v>32</v>
      </c>
      <c r="O1729" s="15"/>
      <c r="P1729" s="6">
        <v>41231.741053240738</v>
      </c>
      <c r="Q1729" s="18" t="s">
        <v>173</v>
      </c>
      <c r="R1729" s="19" t="s">
        <v>2959</v>
      </c>
      <c r="S1729" s="11"/>
      <c r="T1729" s="11"/>
      <c r="U1729" s="10" t="str">
        <f>HYPERLINK("https://pbs.twimg.com/profile_images/1000343511403778048/bmOTcuaV.jpg","View")</f>
        <v>View</v>
      </c>
    </row>
    <row r="1730" spans="1:21" ht="20.399999999999999">
      <c r="A1730" s="6">
        <v>43441.326215277775</v>
      </c>
      <c r="B1730" s="7" t="str">
        <f>HYPERLINK("https://twitter.com/AlfonsoRojoPD","@AlfonsoRojoPD")</f>
        <v>@AlfonsoRojoPD</v>
      </c>
      <c r="C1730" s="8" t="s">
        <v>1464</v>
      </c>
      <c r="D1730" s="9" t="s">
        <v>6551</v>
      </c>
      <c r="E1730" s="10" t="str">
        <f>HYPERLINK("https://twitter.com/AlfonsoRojoPD/status/1070933362817335296","1070933362817335296")</f>
        <v>1070933362817335296</v>
      </c>
      <c r="F1730" s="12" t="s">
        <v>5055</v>
      </c>
      <c r="G1730" s="11"/>
      <c r="H1730" s="11"/>
      <c r="I1730" s="13">
        <v>11</v>
      </c>
      <c r="J1730" s="13">
        <v>24</v>
      </c>
      <c r="K1730" s="14" t="str">
        <f>HYPERLINK("http://twitter.com","Twitter Web Client")</f>
        <v>Twitter Web Client</v>
      </c>
      <c r="L1730" s="13">
        <v>49129</v>
      </c>
      <c r="M1730" s="13">
        <v>0</v>
      </c>
      <c r="N1730" s="13">
        <v>677</v>
      </c>
      <c r="O1730" s="16" t="s">
        <v>25</v>
      </c>
      <c r="P1730" s="6">
        <v>41704.447048611109</v>
      </c>
      <c r="Q1730" s="18" t="s">
        <v>307</v>
      </c>
      <c r="R1730" s="19" t="s">
        <v>1470</v>
      </c>
      <c r="S1730" s="12" t="s">
        <v>1471</v>
      </c>
      <c r="T1730" s="11"/>
      <c r="U1730" s="10" t="str">
        <f>HYPERLINK("https://pbs.twimg.com/profile_images/441511791210663936/QbI_6aXh.jpeg","View")</f>
        <v>View</v>
      </c>
    </row>
    <row r="1731" spans="1:21" ht="51">
      <c r="A1731" s="6">
        <v>43441.325289351851</v>
      </c>
      <c r="B1731" s="7" t="str">
        <f>HYPERLINK("https://twitter.com/Juanoalvi","@Juanoalvi")</f>
        <v>@Juanoalvi</v>
      </c>
      <c r="C1731" s="8" t="s">
        <v>6552</v>
      </c>
      <c r="D1731" s="9" t="s">
        <v>6553</v>
      </c>
      <c r="E1731" s="10" t="str">
        <f>HYPERLINK("https://twitter.com/Juanoalvi/status/1070933026215997440","1070933026215997440")</f>
        <v>1070933026215997440</v>
      </c>
      <c r="F1731" s="18" t="s">
        <v>6554</v>
      </c>
      <c r="G1731" s="12" t="s">
        <v>6555</v>
      </c>
      <c r="H1731" s="11"/>
      <c r="I1731" s="13">
        <v>0</v>
      </c>
      <c r="J1731" s="13">
        <v>0</v>
      </c>
      <c r="K1731" s="14" t="str">
        <f>HYPERLINK("https://mobile.twitter.com","Twitter Lite")</f>
        <v>Twitter Lite</v>
      </c>
      <c r="L1731" s="13">
        <v>1636</v>
      </c>
      <c r="M1731" s="13">
        <v>2416</v>
      </c>
      <c r="N1731" s="13">
        <v>20</v>
      </c>
      <c r="O1731" s="15"/>
      <c r="P1731" s="6">
        <v>40682.847986111112</v>
      </c>
      <c r="Q1731" s="11"/>
      <c r="R1731" s="19" t="s">
        <v>6556</v>
      </c>
      <c r="S1731" s="11"/>
      <c r="T1731" s="11"/>
      <c r="U1731" s="10" t="str">
        <f>HYPERLINK("https://pbs.twimg.com/profile_images/2544804070/wun0ekf03te5vzymvddc.jpeg","View")</f>
        <v>View</v>
      </c>
    </row>
    <row r="1732" spans="1:21" ht="40.799999999999997">
      <c r="A1732" s="6">
        <v>43441.325092592597</v>
      </c>
      <c r="B1732" s="7" t="str">
        <f>HYPERLINK("https://twitter.com/Demijavier","@Demijavier")</f>
        <v>@Demijavier</v>
      </c>
      <c r="C1732" s="8" t="s">
        <v>6557</v>
      </c>
      <c r="D1732" s="9" t="s">
        <v>6558</v>
      </c>
      <c r="E1732" s="10" t="str">
        <f>HYPERLINK("https://twitter.com/Demijavier/status/1070932955495784449","1070932955495784449")</f>
        <v>1070932955495784449</v>
      </c>
      <c r="F1732" s="12" t="s">
        <v>6559</v>
      </c>
      <c r="G1732" s="11"/>
      <c r="H1732" s="11"/>
      <c r="I1732" s="13">
        <v>1</v>
      </c>
      <c r="J1732" s="13">
        <v>1</v>
      </c>
      <c r="K1732" s="14" t="str">
        <f>HYPERLINK("http://www.linkedin.com/","LinkedIn")</f>
        <v>LinkedIn</v>
      </c>
      <c r="L1732" s="13">
        <v>17</v>
      </c>
      <c r="M1732" s="13">
        <v>46</v>
      </c>
      <c r="N1732" s="13">
        <v>1</v>
      </c>
      <c r="O1732" s="15"/>
      <c r="P1732" s="6">
        <v>42991.262708333335</v>
      </c>
      <c r="Q1732" s="18" t="s">
        <v>6560</v>
      </c>
      <c r="R1732" s="19" t="s">
        <v>6561</v>
      </c>
      <c r="S1732" s="11"/>
      <c r="T1732" s="11"/>
      <c r="U1732" s="10" t="str">
        <f>HYPERLINK("https://pbs.twimg.com/profile_images/907823527692292096/ZWFfMPhs.jpg","View")</f>
        <v>View</v>
      </c>
    </row>
    <row r="1733" spans="1:21" ht="61.2">
      <c r="A1733" s="6">
        <v>43441.324467592596</v>
      </c>
      <c r="B1733" s="7" t="str">
        <f>HYPERLINK("https://twitter.com/ParadisePerduto","@ParadisePerduto")</f>
        <v>@ParadisePerduto</v>
      </c>
      <c r="C1733" s="8" t="s">
        <v>3418</v>
      </c>
      <c r="D1733" s="9" t="s">
        <v>3419</v>
      </c>
      <c r="E1733" s="10" t="str">
        <f>HYPERLINK("https://twitter.com/ParadisePerduto/status/1070932728252649472","1070932728252649472")</f>
        <v>1070932728252649472</v>
      </c>
      <c r="F1733" s="11"/>
      <c r="G1733" s="11"/>
      <c r="H1733" s="11"/>
      <c r="I1733" s="13">
        <v>0</v>
      </c>
      <c r="J1733" s="13">
        <v>0</v>
      </c>
      <c r="K1733" s="14" t="str">
        <f t="shared" ref="K1733:K1736" si="297">HYPERLINK("http://twitter.com/download/android","Twitter for Android")</f>
        <v>Twitter for Android</v>
      </c>
      <c r="L1733" s="13">
        <v>75</v>
      </c>
      <c r="M1733" s="13">
        <v>152</v>
      </c>
      <c r="N1733" s="13">
        <v>1</v>
      </c>
      <c r="O1733" s="15"/>
      <c r="P1733" s="6">
        <v>42617.982453703706</v>
      </c>
      <c r="Q1733" s="11"/>
      <c r="R1733" s="19" t="s">
        <v>3421</v>
      </c>
      <c r="S1733" s="11"/>
      <c r="T1733" s="11"/>
      <c r="U1733" s="10" t="str">
        <f>HYPERLINK("https://pbs.twimg.com/profile_images/1070113971217317889/gLzWEcRQ.jpg","View")</f>
        <v>View</v>
      </c>
    </row>
    <row r="1734" spans="1:21" ht="30.6">
      <c r="A1734" s="6">
        <v>43441.323148148149</v>
      </c>
      <c r="B1734" s="7" t="str">
        <f>HYPERLINK("https://twitter.com/JuanEscolan","@JuanEscolan")</f>
        <v>@JuanEscolan</v>
      </c>
      <c r="C1734" s="8" t="s">
        <v>6562</v>
      </c>
      <c r="D1734" s="9" t="s">
        <v>6563</v>
      </c>
      <c r="E1734" s="10" t="str">
        <f>HYPERLINK("https://twitter.com/JuanEscolan/status/1070932253532979200","1070932253532979200")</f>
        <v>1070932253532979200</v>
      </c>
      <c r="F1734" s="11"/>
      <c r="G1734" s="11"/>
      <c r="H1734" s="11"/>
      <c r="I1734" s="13">
        <v>0</v>
      </c>
      <c r="J1734" s="13">
        <v>0</v>
      </c>
      <c r="K1734" s="14" t="str">
        <f t="shared" si="297"/>
        <v>Twitter for Android</v>
      </c>
      <c r="L1734" s="13">
        <v>35</v>
      </c>
      <c r="M1734" s="13">
        <v>166</v>
      </c>
      <c r="N1734" s="13">
        <v>0</v>
      </c>
      <c r="O1734" s="15"/>
      <c r="P1734" s="6">
        <v>42003.957905092597</v>
      </c>
      <c r="Q1734" s="18" t="s">
        <v>6564</v>
      </c>
      <c r="R1734" s="19" t="s">
        <v>6565</v>
      </c>
      <c r="S1734" s="11"/>
      <c r="T1734" s="11"/>
      <c r="U1734" s="10" t="str">
        <f>HYPERLINK("https://pbs.twimg.com/profile_images/676875867197480961/2mTPMpvg.jpg","View")</f>
        <v>View</v>
      </c>
    </row>
    <row r="1735" spans="1:21" ht="20.399999999999999">
      <c r="A1735" s="6">
        <v>43441.322268518517</v>
      </c>
      <c r="B1735" s="7" t="str">
        <f>HYPERLINK("https://twitter.com/aegd1968","@aegd1968")</f>
        <v>@aegd1968</v>
      </c>
      <c r="C1735" s="8" t="s">
        <v>3423</v>
      </c>
      <c r="D1735" s="9" t="s">
        <v>3424</v>
      </c>
      <c r="E1735" s="10" t="str">
        <f>HYPERLINK("https://twitter.com/aegd1968/status/1070931932064690176","1070931932064690176")</f>
        <v>1070931932064690176</v>
      </c>
      <c r="F1735" s="11"/>
      <c r="G1735" s="12" t="s">
        <v>3426</v>
      </c>
      <c r="H1735" s="11"/>
      <c r="I1735" s="13">
        <v>0</v>
      </c>
      <c r="J1735" s="13">
        <v>2</v>
      </c>
      <c r="K1735" s="14" t="str">
        <f t="shared" si="297"/>
        <v>Twitter for Android</v>
      </c>
      <c r="L1735" s="13">
        <v>172</v>
      </c>
      <c r="M1735" s="13">
        <v>148</v>
      </c>
      <c r="N1735" s="13">
        <v>2</v>
      </c>
      <c r="O1735" s="15"/>
      <c r="P1735" s="6">
        <v>40531.9919212963</v>
      </c>
      <c r="Q1735" s="11"/>
      <c r="R1735" s="19" t="s">
        <v>3430</v>
      </c>
      <c r="S1735" s="11"/>
      <c r="T1735" s="11"/>
      <c r="U1735" s="10" t="str">
        <f>HYPERLINK("https://pbs.twimg.com/profile_images/1031499363229593600/wMP-zsgr.jpg","View")</f>
        <v>View</v>
      </c>
    </row>
    <row r="1736" spans="1:21" ht="30.6">
      <c r="A1736" s="6">
        <v>43441.322187500002</v>
      </c>
      <c r="B1736" s="7" t="str">
        <f>HYPERLINK("https://twitter.com/AEscolano45","@AEscolano45")</f>
        <v>@AEscolano45</v>
      </c>
      <c r="C1736" s="8" t="s">
        <v>6566</v>
      </c>
      <c r="D1736" s="9" t="s">
        <v>6567</v>
      </c>
      <c r="E1736" s="10" t="str">
        <f>HYPERLINK("https://twitter.com/AEscolano45/status/1070931901937082368","1070931901937082368")</f>
        <v>1070931901937082368</v>
      </c>
      <c r="F1736" s="11"/>
      <c r="G1736" s="11"/>
      <c r="H1736" s="11"/>
      <c r="I1736" s="13">
        <v>3</v>
      </c>
      <c r="J1736" s="13">
        <v>4</v>
      </c>
      <c r="K1736" s="14" t="str">
        <f t="shared" si="297"/>
        <v>Twitter for Android</v>
      </c>
      <c r="L1736" s="13">
        <v>263</v>
      </c>
      <c r="M1736" s="13">
        <v>233</v>
      </c>
      <c r="N1736" s="13">
        <v>1</v>
      </c>
      <c r="O1736" s="15"/>
      <c r="P1736" s="6">
        <v>41717.946157407408</v>
      </c>
      <c r="Q1736" s="18" t="s">
        <v>6568</v>
      </c>
      <c r="R1736" s="19" t="s">
        <v>6569</v>
      </c>
      <c r="S1736" s="11"/>
      <c r="T1736" s="11"/>
      <c r="U1736" s="10" t="str">
        <f>HYPERLINK("https://pbs.twimg.com/profile_images/448432378537844738/yJike1aZ.jpeg","View")</f>
        <v>View</v>
      </c>
    </row>
    <row r="1737" spans="1:21" ht="20.399999999999999">
      <c r="A1737" s="6">
        <v>43441.318842592591</v>
      </c>
      <c r="B1737" s="7" t="str">
        <f>HYPERLINK("https://twitter.com/plrmt","@plrmt")</f>
        <v>@plrmt</v>
      </c>
      <c r="C1737" s="8" t="s">
        <v>1523</v>
      </c>
      <c r="D1737" s="9" t="s">
        <v>6570</v>
      </c>
      <c r="E1737" s="10" t="str">
        <f>HYPERLINK("https://twitter.com/plrmt/status/1070930690550755328","1070930690550755328")</f>
        <v>1070930690550755328</v>
      </c>
      <c r="F1737" s="11"/>
      <c r="G1737" s="11"/>
      <c r="H1737" s="11"/>
      <c r="I1737" s="13">
        <v>0</v>
      </c>
      <c r="J1737" s="13">
        <v>1</v>
      </c>
      <c r="K1737" s="14" t="str">
        <f>HYPERLINK("http://twitter.com/download/iphone","Twitter for iPhone")</f>
        <v>Twitter for iPhone</v>
      </c>
      <c r="L1737" s="13">
        <v>258</v>
      </c>
      <c r="M1737" s="13">
        <v>159</v>
      </c>
      <c r="N1737" s="13">
        <v>0</v>
      </c>
      <c r="O1737" s="15"/>
      <c r="P1737" s="6">
        <v>42480.780046296291</v>
      </c>
      <c r="Q1737" s="18" t="s">
        <v>42</v>
      </c>
      <c r="R1737" s="17"/>
      <c r="S1737" s="11"/>
      <c r="T1737" s="11"/>
      <c r="U1737" s="10" t="str">
        <f>HYPERLINK("https://pbs.twimg.com/profile_images/951052450148044800/wX-TzUJk.jpg","View")</f>
        <v>View</v>
      </c>
    </row>
    <row r="1738" spans="1:21" ht="40.799999999999997">
      <c r="A1738" s="6">
        <v>43441.317326388889</v>
      </c>
      <c r="B1738" s="7" t="str">
        <f>HYPERLINK("https://twitter.com/ESdiario_com","@ESdiario_com")</f>
        <v>@ESdiario_com</v>
      </c>
      <c r="C1738" s="8" t="s">
        <v>3431</v>
      </c>
      <c r="D1738" s="9" t="s">
        <v>3432</v>
      </c>
      <c r="E1738" s="10" t="str">
        <f>HYPERLINK("https://twitter.com/ESdiario_com/status/1070930140216090624","1070930140216090624")</f>
        <v>1070930140216090624</v>
      </c>
      <c r="F1738" s="12" t="s">
        <v>186</v>
      </c>
      <c r="G1738" s="11"/>
      <c r="H1738" s="11"/>
      <c r="I1738" s="13">
        <v>1</v>
      </c>
      <c r="J1738" s="13">
        <v>0</v>
      </c>
      <c r="K1738" s="14" t="str">
        <f>HYPERLINK("http://twitter.com/#!/download/ipad","Twitter for iPad")</f>
        <v>Twitter for iPad</v>
      </c>
      <c r="L1738" s="13">
        <v>30936</v>
      </c>
      <c r="M1738" s="13">
        <v>707</v>
      </c>
      <c r="N1738" s="13">
        <v>497</v>
      </c>
      <c r="O1738" s="15"/>
      <c r="P1738" s="6">
        <v>40584.500949074078</v>
      </c>
      <c r="Q1738" s="18" t="s">
        <v>173</v>
      </c>
      <c r="R1738" s="19" t="s">
        <v>3434</v>
      </c>
      <c r="S1738" s="12" t="s">
        <v>3435</v>
      </c>
      <c r="T1738" s="11"/>
      <c r="U1738" s="10" t="str">
        <f>HYPERLINK("https://pbs.twimg.com/profile_images/708363281308753920/7qh3akOb.jpg","View")</f>
        <v>View</v>
      </c>
    </row>
    <row r="1739" spans="1:21" ht="30.6">
      <c r="A1739" s="6">
        <v>43441.317210648151</v>
      </c>
      <c r="B1739" s="7" t="str">
        <f>HYPERLINK("https://twitter.com/leandrosm31","@leandrosm31")</f>
        <v>@leandrosm31</v>
      </c>
      <c r="C1739" s="8" t="s">
        <v>4486</v>
      </c>
      <c r="D1739" s="9" t="s">
        <v>6571</v>
      </c>
      <c r="E1739" s="10" t="str">
        <f>HYPERLINK("https://twitter.com/leandrosm31/status/1070930099430719488","1070930099430719488")</f>
        <v>1070930099430719488</v>
      </c>
      <c r="F1739" s="12" t="s">
        <v>5842</v>
      </c>
      <c r="G1739" s="11"/>
      <c r="H1739" s="11"/>
      <c r="I1739" s="13">
        <v>0</v>
      </c>
      <c r="J1739" s="13">
        <v>0</v>
      </c>
      <c r="K1739" s="14" t="str">
        <f t="shared" ref="K1739:K1740" si="298">HYPERLINK("http://twitter.com/download/android","Twitter for Android")</f>
        <v>Twitter for Android</v>
      </c>
      <c r="L1739" s="13">
        <v>1857</v>
      </c>
      <c r="M1739" s="13">
        <v>2122</v>
      </c>
      <c r="N1739" s="13">
        <v>6</v>
      </c>
      <c r="O1739" s="15"/>
      <c r="P1739" s="6">
        <v>43028.957638888889</v>
      </c>
      <c r="Q1739" s="11"/>
      <c r="R1739" s="17"/>
      <c r="S1739" s="11"/>
      <c r="T1739" s="11"/>
      <c r="U1739" s="10" t="str">
        <f>HYPERLINK("https://pbs.twimg.com/profile_images/924518683430604800/vCjgdbu3.jpg","View")</f>
        <v>View</v>
      </c>
    </row>
    <row r="1740" spans="1:21" ht="51">
      <c r="A1740" s="6">
        <v>43441.315914351857</v>
      </c>
      <c r="B1740" s="7" t="str">
        <f>HYPERLINK("https://twitter.com/Juansin92059456","@Juansin92059456")</f>
        <v>@Juansin92059456</v>
      </c>
      <c r="C1740" s="8" t="s">
        <v>3439</v>
      </c>
      <c r="D1740" s="9" t="s">
        <v>3440</v>
      </c>
      <c r="E1740" s="10" t="str">
        <f>HYPERLINK("https://twitter.com/Juansin92059456/status/1070929631170179078","1070929631170179078")</f>
        <v>1070929631170179078</v>
      </c>
      <c r="F1740" s="18" t="s">
        <v>3442</v>
      </c>
      <c r="G1740" s="11"/>
      <c r="H1740" s="11"/>
      <c r="I1740" s="13">
        <v>1</v>
      </c>
      <c r="J1740" s="13">
        <v>1</v>
      </c>
      <c r="K1740" s="14" t="str">
        <f t="shared" si="298"/>
        <v>Twitter for Android</v>
      </c>
      <c r="L1740" s="13">
        <v>63</v>
      </c>
      <c r="M1740" s="13">
        <v>228</v>
      </c>
      <c r="N1740" s="13">
        <v>0</v>
      </c>
      <c r="O1740" s="15"/>
      <c r="P1740" s="6">
        <v>43247.212766203702</v>
      </c>
      <c r="Q1740" s="11"/>
      <c r="R1740" s="19" t="s">
        <v>3443</v>
      </c>
      <c r="S1740" s="11"/>
      <c r="T1740" s="11"/>
      <c r="U1740" s="10" t="str">
        <f>HYPERLINK("https://pbs.twimg.com/profile_images/1001582685108785152/H6ZCkRw2.jpg","View")</f>
        <v>View</v>
      </c>
    </row>
    <row r="1741" spans="1:21" ht="20.399999999999999">
      <c r="A1741" s="6">
        <v>43441.315902777773</v>
      </c>
      <c r="B1741" s="7" t="str">
        <f>HYPERLINK("https://twitter.com/AlfonsoRojoPD","@AlfonsoRojoPD")</f>
        <v>@AlfonsoRojoPD</v>
      </c>
      <c r="C1741" s="8" t="s">
        <v>1464</v>
      </c>
      <c r="D1741" s="9" t="s">
        <v>6572</v>
      </c>
      <c r="E1741" s="10" t="str">
        <f>HYPERLINK("https://twitter.com/AlfonsoRojoPD/status/1070929625667260420","1070929625667260420")</f>
        <v>1070929625667260420</v>
      </c>
      <c r="F1741" s="12" t="s">
        <v>5842</v>
      </c>
      <c r="G1741" s="11"/>
      <c r="H1741" s="11"/>
      <c r="I1741" s="13">
        <v>18</v>
      </c>
      <c r="J1741" s="13">
        <v>35</v>
      </c>
      <c r="K1741" s="14" t="str">
        <f>HYPERLINK("http://twitter.com","Twitter Web Client")</f>
        <v>Twitter Web Client</v>
      </c>
      <c r="L1741" s="13">
        <v>49129</v>
      </c>
      <c r="M1741" s="13">
        <v>0</v>
      </c>
      <c r="N1741" s="13">
        <v>677</v>
      </c>
      <c r="O1741" s="16" t="s">
        <v>25</v>
      </c>
      <c r="P1741" s="6">
        <v>41704.447048611109</v>
      </c>
      <c r="Q1741" s="18" t="s">
        <v>307</v>
      </c>
      <c r="R1741" s="19" t="s">
        <v>1470</v>
      </c>
      <c r="S1741" s="12" t="s">
        <v>1471</v>
      </c>
      <c r="T1741" s="11"/>
      <c r="U1741" s="10" t="str">
        <f>HYPERLINK("https://pbs.twimg.com/profile_images/441511791210663936/QbI_6aXh.jpeg","View")</f>
        <v>View</v>
      </c>
    </row>
    <row r="1742" spans="1:21" ht="40.799999999999997">
      <c r="A1742" s="6">
        <v>43441.31521990741</v>
      </c>
      <c r="B1742" s="7" t="str">
        <f>HYPERLINK("https://twitter.com/vikuku","@vikuku")</f>
        <v>@vikuku</v>
      </c>
      <c r="C1742" s="8" t="s">
        <v>6573</v>
      </c>
      <c r="D1742" s="9" t="s">
        <v>6574</v>
      </c>
      <c r="E1742" s="10" t="str">
        <f>HYPERLINK("https://twitter.com/vikuku/status/1070929380334075905","1070929380334075905")</f>
        <v>1070929380334075905</v>
      </c>
      <c r="F1742" s="12" t="s">
        <v>6575</v>
      </c>
      <c r="G1742" s="11"/>
      <c r="H1742" s="11"/>
      <c r="I1742" s="13">
        <v>0</v>
      </c>
      <c r="J1742" s="13">
        <v>0</v>
      </c>
      <c r="K1742" s="14" t="str">
        <f t="shared" ref="K1742:K1744" si="299">HYPERLINK("http://twitter.com/download/iphone","Twitter for iPhone")</f>
        <v>Twitter for iPhone</v>
      </c>
      <c r="L1742" s="13">
        <v>473</v>
      </c>
      <c r="M1742" s="13">
        <v>2099</v>
      </c>
      <c r="N1742" s="13">
        <v>15</v>
      </c>
      <c r="O1742" s="15"/>
      <c r="P1742" s="6">
        <v>40068.45521990741</v>
      </c>
      <c r="Q1742" s="11"/>
      <c r="R1742" s="19" t="s">
        <v>6576</v>
      </c>
      <c r="S1742" s="11"/>
      <c r="T1742" s="11"/>
      <c r="U1742" s="10" t="str">
        <f>HYPERLINK("https://pbs.twimg.com/profile_images/1857638127/2031519.jpg","View")</f>
        <v>View</v>
      </c>
    </row>
    <row r="1743" spans="1:21" ht="20.399999999999999">
      <c r="A1743" s="6">
        <v>43441.310219907406</v>
      </c>
      <c r="B1743" s="7" t="str">
        <f>HYPERLINK("https://twitter.com/laracls","@laracls")</f>
        <v>@laracls</v>
      </c>
      <c r="C1743" s="8" t="s">
        <v>6577</v>
      </c>
      <c r="D1743" s="9" t="s">
        <v>5254</v>
      </c>
      <c r="E1743" s="10" t="str">
        <f>HYPERLINK("https://twitter.com/laracls/status/1070927569002864640","1070927569002864640")</f>
        <v>1070927569002864640</v>
      </c>
      <c r="F1743" s="12" t="s">
        <v>6077</v>
      </c>
      <c r="G1743" s="11"/>
      <c r="H1743" s="11"/>
      <c r="I1743" s="13">
        <v>1</v>
      </c>
      <c r="J1743" s="13">
        <v>0</v>
      </c>
      <c r="K1743" s="14" t="str">
        <f t="shared" si="299"/>
        <v>Twitter for iPhone</v>
      </c>
      <c r="L1743" s="13">
        <v>58</v>
      </c>
      <c r="M1743" s="13">
        <v>101</v>
      </c>
      <c r="N1743" s="13">
        <v>2</v>
      </c>
      <c r="O1743" s="15"/>
      <c r="P1743" s="6">
        <v>41215.750706018516</v>
      </c>
      <c r="Q1743" s="18" t="s">
        <v>307</v>
      </c>
      <c r="R1743" s="19" t="s">
        <v>6578</v>
      </c>
      <c r="S1743" s="12" t="s">
        <v>6579</v>
      </c>
      <c r="T1743" s="11"/>
      <c r="U1743" s="10" t="str">
        <f>HYPERLINK("https://pbs.twimg.com/profile_images/1024531286113824768/1MiW4oQV.jpg","View")</f>
        <v>View</v>
      </c>
    </row>
    <row r="1744" spans="1:21" ht="40.799999999999997">
      <c r="A1744" s="6">
        <v>43441.308668981481</v>
      </c>
      <c r="B1744" s="7" t="str">
        <f>HYPERLINK("https://twitter.com/drmerkwurdig","@drmerkwurdig")</f>
        <v>@drmerkwurdig</v>
      </c>
      <c r="C1744" s="8" t="s">
        <v>3447</v>
      </c>
      <c r="D1744" s="9" t="s">
        <v>3449</v>
      </c>
      <c r="E1744" s="10" t="str">
        <f>HYPERLINK("https://twitter.com/drmerkwurdig/status/1070927003300323328","1070927003300323328")</f>
        <v>1070927003300323328</v>
      </c>
      <c r="F1744" s="18" t="s">
        <v>3450</v>
      </c>
      <c r="G1744" s="11"/>
      <c r="H1744" s="11"/>
      <c r="I1744" s="13">
        <v>0</v>
      </c>
      <c r="J1744" s="13">
        <v>0</v>
      </c>
      <c r="K1744" s="14" t="str">
        <f t="shared" si="299"/>
        <v>Twitter for iPhone</v>
      </c>
      <c r="L1744" s="13">
        <v>188</v>
      </c>
      <c r="M1744" s="13">
        <v>324</v>
      </c>
      <c r="N1744" s="13">
        <v>0</v>
      </c>
      <c r="O1744" s="15"/>
      <c r="P1744" s="6">
        <v>43041.882754629631</v>
      </c>
      <c r="Q1744" s="18" t="s">
        <v>3451</v>
      </c>
      <c r="R1744" s="19" t="s">
        <v>3453</v>
      </c>
      <c r="S1744" s="11"/>
      <c r="T1744" s="11"/>
      <c r="U1744" s="10" t="str">
        <f>HYPERLINK("https://pbs.twimg.com/profile_images/926184409392472066/VtF2Uxe4.jpg","View")</f>
        <v>View</v>
      </c>
    </row>
    <row r="1745" spans="1:21" ht="13.2">
      <c r="A1745" s="6">
        <v>43441.308599537035</v>
      </c>
      <c r="B1745" s="7" t="str">
        <f>HYPERLINK("https://twitter.com/petruca4","@petruca4")</f>
        <v>@petruca4</v>
      </c>
      <c r="C1745" s="8" t="s">
        <v>6580</v>
      </c>
      <c r="D1745" s="9" t="s">
        <v>6581</v>
      </c>
      <c r="E1745" s="10" t="str">
        <f>HYPERLINK("https://twitter.com/petruca4/status/1070926978503589888","1070926978503589888")</f>
        <v>1070926978503589888</v>
      </c>
      <c r="F1745" s="12" t="s">
        <v>6582</v>
      </c>
      <c r="G1745" s="11"/>
      <c r="H1745" s="11"/>
      <c r="I1745" s="13">
        <v>0</v>
      </c>
      <c r="J1745" s="13">
        <v>0</v>
      </c>
      <c r="K1745" s="14" t="str">
        <f>HYPERLINK("http://www.facebook.com/twitter","Facebook")</f>
        <v>Facebook</v>
      </c>
      <c r="L1745" s="13">
        <v>32</v>
      </c>
      <c r="M1745" s="13">
        <v>390</v>
      </c>
      <c r="N1745" s="13">
        <v>1</v>
      </c>
      <c r="O1745" s="15"/>
      <c r="P1745" s="6">
        <v>42027.928206018521</v>
      </c>
      <c r="Q1745" s="18" t="s">
        <v>6583</v>
      </c>
      <c r="R1745" s="17"/>
      <c r="S1745" s="11"/>
      <c r="T1745" s="11"/>
      <c r="U1745" s="10" t="str">
        <f>HYPERLINK("https://pbs.twimg.com/profile_images/627173353007263744/VoaZRTGd.jpg","View")</f>
        <v>View</v>
      </c>
    </row>
    <row r="1746" spans="1:21" ht="20.399999999999999">
      <c r="A1746" s="6">
        <v>43441.308495370366</v>
      </c>
      <c r="B1746" s="7" t="str">
        <f>HYPERLINK("https://twitter.com/anewhopeleia","@anewhopeleia")</f>
        <v>@anewhopeleia</v>
      </c>
      <c r="C1746" s="8" t="s">
        <v>6584</v>
      </c>
      <c r="D1746" s="9" t="s">
        <v>39</v>
      </c>
      <c r="E1746" s="10" t="str">
        <f>HYPERLINK("https://twitter.com/anewhopeleia/status/1070926940964601856","1070926940964601856")</f>
        <v>1070926940964601856</v>
      </c>
      <c r="F1746" s="12" t="s">
        <v>40</v>
      </c>
      <c r="G1746" s="11"/>
      <c r="H1746" s="11"/>
      <c r="I1746" s="13">
        <v>0</v>
      </c>
      <c r="J1746" s="13">
        <v>0</v>
      </c>
      <c r="K1746" s="14" t="str">
        <f t="shared" ref="K1746:K1747" si="300">HYPERLINK("http://twitter.com","Twitter Web Client")</f>
        <v>Twitter Web Client</v>
      </c>
      <c r="L1746" s="13">
        <v>205</v>
      </c>
      <c r="M1746" s="13">
        <v>661</v>
      </c>
      <c r="N1746" s="13">
        <v>11</v>
      </c>
      <c r="O1746" s="15"/>
      <c r="P1746" s="6">
        <v>41844.585289351853</v>
      </c>
      <c r="Q1746" s="11"/>
      <c r="R1746" s="17"/>
      <c r="S1746" s="11"/>
      <c r="T1746" s="11"/>
      <c r="U1746" s="10" t="str">
        <f>HYPERLINK("https://pbs.twimg.com/profile_images/492283263843840000/vz50FzJs.jpeg","View")</f>
        <v>View</v>
      </c>
    </row>
    <row r="1747" spans="1:21" ht="20.399999999999999">
      <c r="A1747" s="6">
        <v>43441.307199074072</v>
      </c>
      <c r="B1747" s="7" t="str">
        <f>HYPERLINK("https://twitter.com/periodistadigit","@periodistadigit")</f>
        <v>@periodistadigit</v>
      </c>
      <c r="C1747" s="8" t="s">
        <v>317</v>
      </c>
      <c r="D1747" s="9" t="s">
        <v>6572</v>
      </c>
      <c r="E1747" s="10" t="str">
        <f>HYPERLINK("https://twitter.com/periodistadigit/status/1070926474180550656","1070926474180550656")</f>
        <v>1070926474180550656</v>
      </c>
      <c r="F1747" s="12" t="s">
        <v>5842</v>
      </c>
      <c r="G1747" s="11"/>
      <c r="H1747" s="11"/>
      <c r="I1747" s="13">
        <v>15</v>
      </c>
      <c r="J1747" s="13">
        <v>17</v>
      </c>
      <c r="K1747" s="14" t="str">
        <f t="shared" si="300"/>
        <v>Twitter Web Client</v>
      </c>
      <c r="L1747" s="13">
        <v>56221</v>
      </c>
      <c r="M1747" s="13">
        <v>3786</v>
      </c>
      <c r="N1747" s="13">
        <v>1472</v>
      </c>
      <c r="O1747" s="16" t="s">
        <v>25</v>
      </c>
      <c r="P1747" s="6">
        <v>40084.916296296295</v>
      </c>
      <c r="Q1747" s="18" t="s">
        <v>307</v>
      </c>
      <c r="R1747" s="19" t="s">
        <v>3635</v>
      </c>
      <c r="S1747" s="12" t="s">
        <v>1471</v>
      </c>
      <c r="T1747" s="11"/>
      <c r="U1747" s="10" t="str">
        <f>HYPERLINK("https://pbs.twimg.com/profile_images/1913331873/periodista-digital.jpg","View")</f>
        <v>View</v>
      </c>
    </row>
    <row r="1748" spans="1:21" ht="71.400000000000006">
      <c r="A1748" s="6">
        <v>43441.302222222221</v>
      </c>
      <c r="B1748" s="7" t="str">
        <f>HYPERLINK("https://twitter.com/SilviaBueu","@SilviaBueu")</f>
        <v>@SilviaBueu</v>
      </c>
      <c r="C1748" s="8" t="s">
        <v>3454</v>
      </c>
      <c r="D1748" s="9" t="s">
        <v>3455</v>
      </c>
      <c r="E1748" s="10" t="str">
        <f>HYPERLINK("https://twitter.com/SilviaBueu/status/1070924666955579392","1070924666955579392")</f>
        <v>1070924666955579392</v>
      </c>
      <c r="F1748" s="12" t="s">
        <v>3456</v>
      </c>
      <c r="G1748" s="11"/>
      <c r="H1748" s="11"/>
      <c r="I1748" s="13">
        <v>1</v>
      </c>
      <c r="J1748" s="13">
        <v>3</v>
      </c>
      <c r="K1748" s="14" t="str">
        <f t="shared" ref="K1748:K1749" si="301">HYPERLINK("http://twitter.com/download/android","Twitter for Android")</f>
        <v>Twitter for Android</v>
      </c>
      <c r="L1748" s="13">
        <v>1299</v>
      </c>
      <c r="M1748" s="13">
        <v>2930</v>
      </c>
      <c r="N1748" s="13">
        <v>13</v>
      </c>
      <c r="O1748" s="15"/>
      <c r="P1748" s="6">
        <v>42004.504803240736</v>
      </c>
      <c r="Q1748" s="18" t="s">
        <v>3457</v>
      </c>
      <c r="R1748" s="19" t="s">
        <v>3458</v>
      </c>
      <c r="S1748" s="11"/>
      <c r="T1748" s="11"/>
      <c r="U1748" s="10" t="str">
        <f>HYPERLINK("https://pbs.twimg.com/profile_images/1068787795974606848/w2V8m-Lz.jpg","View")</f>
        <v>View</v>
      </c>
    </row>
    <row r="1749" spans="1:21" ht="30.6">
      <c r="A1749" s="6">
        <v>43441.297465277778</v>
      </c>
      <c r="B1749" s="7" t="str">
        <f>HYPERLINK("https://twitter.com/javieratm14","@javieratm14")</f>
        <v>@javieratm14</v>
      </c>
      <c r="C1749" s="8" t="s">
        <v>3459</v>
      </c>
      <c r="D1749" s="9" t="s">
        <v>3460</v>
      </c>
      <c r="E1749" s="10" t="str">
        <f>HYPERLINK("https://twitter.com/javieratm14/status/1070922943885139968","1070922943885139968")</f>
        <v>1070922943885139968</v>
      </c>
      <c r="F1749" s="11"/>
      <c r="G1749" s="11"/>
      <c r="H1749" s="11"/>
      <c r="I1749" s="13">
        <v>2</v>
      </c>
      <c r="J1749" s="13">
        <v>1</v>
      </c>
      <c r="K1749" s="14" t="str">
        <f t="shared" si="301"/>
        <v>Twitter for Android</v>
      </c>
      <c r="L1749" s="13">
        <v>346</v>
      </c>
      <c r="M1749" s="13">
        <v>592</v>
      </c>
      <c r="N1749" s="13">
        <v>3</v>
      </c>
      <c r="O1749" s="15"/>
      <c r="P1749" s="6">
        <v>41744.754062499997</v>
      </c>
      <c r="Q1749" s="11"/>
      <c r="R1749" s="19" t="s">
        <v>3461</v>
      </c>
      <c r="S1749" s="11"/>
      <c r="T1749" s="11"/>
      <c r="U1749" s="10" t="str">
        <f>HYPERLINK("https://pbs.twimg.com/profile_images/1026074155387633665/tku_oH4r.jpg","View")</f>
        <v>View</v>
      </c>
    </row>
    <row r="1750" spans="1:21" ht="20.399999999999999">
      <c r="A1750" s="6">
        <v>43441.292303240742</v>
      </c>
      <c r="B1750" s="7" t="str">
        <f>HYPERLINK("https://twitter.com/joelhirst","@joelhirst")</f>
        <v>@joelhirst</v>
      </c>
      <c r="C1750" s="8" t="s">
        <v>6585</v>
      </c>
      <c r="D1750" s="9" t="s">
        <v>6586</v>
      </c>
      <c r="E1750" s="10" t="str">
        <f>HYPERLINK("https://twitter.com/joelhirst/status/1070921074089619456","1070921074089619456")</f>
        <v>1070921074089619456</v>
      </c>
      <c r="F1750" s="12" t="s">
        <v>6587</v>
      </c>
      <c r="G1750" s="11"/>
      <c r="H1750" s="11"/>
      <c r="I1750" s="13">
        <v>2</v>
      </c>
      <c r="J1750" s="13">
        <v>2</v>
      </c>
      <c r="K1750" s="14" t="str">
        <f>HYPERLINK("http://twitter.com","Twitter Web Client")</f>
        <v>Twitter Web Client</v>
      </c>
      <c r="L1750" s="13">
        <v>9483</v>
      </c>
      <c r="M1750" s="13">
        <v>9388</v>
      </c>
      <c r="N1750" s="13">
        <v>163</v>
      </c>
      <c r="O1750" s="15"/>
      <c r="P1750" s="6">
        <v>40379.448206018518</v>
      </c>
      <c r="Q1750" s="18" t="s">
        <v>6588</v>
      </c>
      <c r="R1750" s="19" t="s">
        <v>6589</v>
      </c>
      <c r="S1750" s="12" t="s">
        <v>6590</v>
      </c>
      <c r="T1750" s="11"/>
      <c r="U1750" s="10" t="str">
        <f>HYPERLINK("https://pbs.twimg.com/profile_images/969969942698356737/UxnzG-YF.jpg","View")</f>
        <v>View</v>
      </c>
    </row>
    <row r="1751" spans="1:21" ht="30.6">
      <c r="A1751" s="6">
        <v>43441.290520833332</v>
      </c>
      <c r="B1751" s="7" t="str">
        <f>HYPERLINK("https://twitter.com/TeVeo3210","@TeVeo3210")</f>
        <v>@TeVeo3210</v>
      </c>
      <c r="C1751" s="8" t="s">
        <v>6591</v>
      </c>
      <c r="D1751" s="9" t="s">
        <v>6592</v>
      </c>
      <c r="E1751" s="10" t="str">
        <f>HYPERLINK("https://twitter.com/TeVeo3210/status/1070920428217139200","1070920428217139200")</f>
        <v>1070920428217139200</v>
      </c>
      <c r="F1751" s="12" t="s">
        <v>483</v>
      </c>
      <c r="G1751" s="11"/>
      <c r="H1751" s="11"/>
      <c r="I1751" s="13">
        <v>0</v>
      </c>
      <c r="J1751" s="13">
        <v>0</v>
      </c>
      <c r="K1751" s="14" t="str">
        <f>HYPERLINK("https://mobile.twitter.com","Twitter Lite")</f>
        <v>Twitter Lite</v>
      </c>
      <c r="L1751" s="13">
        <v>344</v>
      </c>
      <c r="M1751" s="13">
        <v>664</v>
      </c>
      <c r="N1751" s="13">
        <v>1</v>
      </c>
      <c r="O1751" s="15"/>
      <c r="P1751" s="6">
        <v>43221.384317129632</v>
      </c>
      <c r="Q1751" s="18" t="s">
        <v>42</v>
      </c>
      <c r="R1751" s="19" t="s">
        <v>6593</v>
      </c>
      <c r="S1751" s="11"/>
      <c r="T1751" s="11"/>
      <c r="U1751" s="10" t="str">
        <f>HYPERLINK("https://pbs.twimg.com/profile_images/991218846810898433/XcqtcVSh.jpg","View")</f>
        <v>View</v>
      </c>
    </row>
    <row r="1752" spans="1:21" ht="30.6">
      <c r="A1752" s="6">
        <v>43441.283587962964</v>
      </c>
      <c r="B1752" s="7" t="str">
        <f>HYPERLINK("https://twitter.com/josetosan72","@josetosan72")</f>
        <v>@josetosan72</v>
      </c>
      <c r="C1752" s="8" t="s">
        <v>6594</v>
      </c>
      <c r="D1752" s="9" t="s">
        <v>6595</v>
      </c>
      <c r="E1752" s="10" t="str">
        <f>HYPERLINK("https://twitter.com/josetosan72/status/1070917916219097088","1070917916219097088")</f>
        <v>1070917916219097088</v>
      </c>
      <c r="F1752" s="12" t="s">
        <v>2803</v>
      </c>
      <c r="G1752" s="11"/>
      <c r="H1752" s="11"/>
      <c r="I1752" s="13">
        <v>0</v>
      </c>
      <c r="J1752" s="13">
        <v>1</v>
      </c>
      <c r="K1752" s="14" t="str">
        <f>HYPERLINK("http://twitter.com/download/iphone","Twitter for iPhone")</f>
        <v>Twitter for iPhone</v>
      </c>
      <c r="L1752" s="13">
        <v>321</v>
      </c>
      <c r="M1752" s="13">
        <v>951</v>
      </c>
      <c r="N1752" s="13">
        <v>0</v>
      </c>
      <c r="O1752" s="15"/>
      <c r="P1752" s="6">
        <v>42351.476087962961</v>
      </c>
      <c r="Q1752" s="18" t="s">
        <v>5390</v>
      </c>
      <c r="R1752" s="19" t="s">
        <v>6596</v>
      </c>
      <c r="S1752" s="11"/>
      <c r="T1752" s="11"/>
      <c r="U1752" s="10" t="str">
        <f>HYPERLINK("https://pbs.twimg.com/profile_images/1064118887623680000/SBo78um5.jpg","View")</f>
        <v>View</v>
      </c>
    </row>
    <row r="1753" spans="1:21" ht="40.799999999999997">
      <c r="A1753" s="6">
        <v>43441.281643518523</v>
      </c>
      <c r="B1753" s="7" t="str">
        <f>HYPERLINK("https://twitter.com/AdeSiracusa","@AdeSiracusa")</f>
        <v>@AdeSiracusa</v>
      </c>
      <c r="C1753" s="8" t="s">
        <v>682</v>
      </c>
      <c r="D1753" s="9" t="s">
        <v>6597</v>
      </c>
      <c r="E1753" s="10" t="str">
        <f>HYPERLINK("https://twitter.com/AdeSiracusa/status/1070917212553314304","1070917212553314304")</f>
        <v>1070917212553314304</v>
      </c>
      <c r="F1753" s="12" t="s">
        <v>6598</v>
      </c>
      <c r="G1753" s="11"/>
      <c r="H1753" s="11"/>
      <c r="I1753" s="13">
        <v>0</v>
      </c>
      <c r="J1753" s="13">
        <v>0</v>
      </c>
      <c r="K1753" s="14" t="str">
        <f>HYPERLINK("http://www.republicosvenezuela.com/","AdeSiracusa")</f>
        <v>AdeSiracusa</v>
      </c>
      <c r="L1753" s="13">
        <v>4091</v>
      </c>
      <c r="M1753" s="13">
        <v>4122</v>
      </c>
      <c r="N1753" s="13">
        <v>12</v>
      </c>
      <c r="O1753" s="15"/>
      <c r="P1753" s="6">
        <v>42958.576388888891</v>
      </c>
      <c r="Q1753" s="18" t="s">
        <v>689</v>
      </c>
      <c r="R1753" s="19" t="s">
        <v>690</v>
      </c>
      <c r="S1753" s="11"/>
      <c r="T1753" s="11"/>
      <c r="U1753" s="10" t="str">
        <f>HYPERLINK("https://pbs.twimg.com/profile_images/895978354591105024/x2wNXrPl.jpg","View")</f>
        <v>View</v>
      </c>
    </row>
    <row r="1754" spans="1:21" ht="30.6">
      <c r="A1754" s="6">
        <v>43441.278298611112</v>
      </c>
      <c r="B1754" s="7" t="str">
        <f>HYPERLINK("https://twitter.com/PirataDelDeseo1","@PirataDelDeseo1")</f>
        <v>@PirataDelDeseo1</v>
      </c>
      <c r="C1754" s="8" t="s">
        <v>6599</v>
      </c>
      <c r="D1754" s="9" t="s">
        <v>4125</v>
      </c>
      <c r="E1754" s="10" t="str">
        <f>HYPERLINK("https://twitter.com/PirataDelDeseo1/status/1070916001066299392","1070916001066299392")</f>
        <v>1070916001066299392</v>
      </c>
      <c r="F1754" s="12" t="s">
        <v>4126</v>
      </c>
      <c r="G1754" s="11"/>
      <c r="H1754" s="11"/>
      <c r="I1754" s="13">
        <v>0</v>
      </c>
      <c r="J1754" s="13">
        <v>0</v>
      </c>
      <c r="K1754" s="14" t="str">
        <f>HYPERLINK("http://twitter.com","Twitter Web Client")</f>
        <v>Twitter Web Client</v>
      </c>
      <c r="L1754" s="13">
        <v>258</v>
      </c>
      <c r="M1754" s="13">
        <v>272</v>
      </c>
      <c r="N1754" s="13">
        <v>5</v>
      </c>
      <c r="O1754" s="15"/>
      <c r="P1754" s="6">
        <v>42643.985844907409</v>
      </c>
      <c r="Q1754" s="11"/>
      <c r="R1754" s="19" t="s">
        <v>6600</v>
      </c>
      <c r="S1754" s="11"/>
      <c r="T1754" s="11"/>
      <c r="U1754" s="10" t="str">
        <f>HYPERLINK("https://pbs.twimg.com/profile_images/822132692624035840/FEs2hnC7.jpg","View")</f>
        <v>View</v>
      </c>
    </row>
    <row r="1755" spans="1:21" ht="61.2">
      <c r="A1755" s="6">
        <v>43441.27412037037</v>
      </c>
      <c r="B1755" s="7" t="str">
        <f>HYPERLINK("https://twitter.com/AcostaNiurca","@AcostaNiurca")</f>
        <v>@AcostaNiurca</v>
      </c>
      <c r="C1755" s="8" t="s">
        <v>3463</v>
      </c>
      <c r="D1755" s="9" t="s">
        <v>3464</v>
      </c>
      <c r="E1755" s="10" t="str">
        <f>HYPERLINK("https://twitter.com/AcostaNiurca/status/1070914484280139776","1070914484280139776")</f>
        <v>1070914484280139776</v>
      </c>
      <c r="F1755" s="18" t="s">
        <v>3465</v>
      </c>
      <c r="G1755" s="11"/>
      <c r="H1755" s="11"/>
      <c r="I1755" s="13">
        <v>0</v>
      </c>
      <c r="J1755" s="13">
        <v>0</v>
      </c>
      <c r="K1755" s="14" t="str">
        <f>HYPERLINK("http://twitter.com/download/android","Twitter for Android")</f>
        <v>Twitter for Android</v>
      </c>
      <c r="L1755" s="13">
        <v>334</v>
      </c>
      <c r="M1755" s="13">
        <v>892</v>
      </c>
      <c r="N1755" s="13">
        <v>1</v>
      </c>
      <c r="O1755" s="15"/>
      <c r="P1755" s="6">
        <v>42245.431655092594</v>
      </c>
      <c r="Q1755" s="11"/>
      <c r="R1755" s="19" t="s">
        <v>3468</v>
      </c>
      <c r="S1755" s="11"/>
      <c r="T1755" s="11"/>
      <c r="U1755" s="10" t="str">
        <f>HYPERLINK("https://pbs.twimg.com/profile_images/637547274017611776/QtoxUKcp.jpg","View")</f>
        <v>View</v>
      </c>
    </row>
    <row r="1756" spans="1:21" ht="20.399999999999999">
      <c r="A1756" s="6">
        <v>43441.273773148147</v>
      </c>
      <c r="B1756" s="7" t="str">
        <f>HYPERLINK("https://twitter.com/scampomaestro","@scampomaestro")</f>
        <v>@scampomaestro</v>
      </c>
      <c r="C1756" s="8" t="s">
        <v>6601</v>
      </c>
      <c r="D1756" s="9" t="s">
        <v>1833</v>
      </c>
      <c r="E1756" s="10" t="str">
        <f>HYPERLINK("https://twitter.com/scampomaestro/status/1070914359172521984","1070914359172521984")</f>
        <v>1070914359172521984</v>
      </c>
      <c r="F1756" s="12" t="s">
        <v>6602</v>
      </c>
      <c r="G1756" s="11"/>
      <c r="H1756" s="11"/>
      <c r="I1756" s="13">
        <v>0</v>
      </c>
      <c r="J1756" s="13">
        <v>0</v>
      </c>
      <c r="K1756" s="14" t="str">
        <f>HYPERLINK("http://twitter.com","Twitter Web Client")</f>
        <v>Twitter Web Client</v>
      </c>
      <c r="L1756" s="13">
        <v>16</v>
      </c>
      <c r="M1756" s="13">
        <v>47</v>
      </c>
      <c r="N1756" s="13">
        <v>0</v>
      </c>
      <c r="O1756" s="15"/>
      <c r="P1756" s="6">
        <v>41609.881724537037</v>
      </c>
      <c r="Q1756" s="11"/>
      <c r="R1756" s="17"/>
      <c r="S1756" s="11"/>
      <c r="T1756" s="11"/>
      <c r="U1756" s="16" t="s">
        <v>191</v>
      </c>
    </row>
    <row r="1757" spans="1:21" ht="20.399999999999999">
      <c r="A1757" s="6">
        <v>43441.272268518514</v>
      </c>
      <c r="B1757" s="7" t="str">
        <f>HYPERLINK("https://twitter.com/SanseMorado","@SanseMorado")</f>
        <v>@SanseMorado</v>
      </c>
      <c r="C1757" s="8" t="s">
        <v>6603</v>
      </c>
      <c r="D1757" s="9" t="s">
        <v>1446</v>
      </c>
      <c r="E1757" s="10" t="str">
        <f>HYPERLINK("https://twitter.com/SanseMorado/status/1070913813795336193","1070913813795336193")</f>
        <v>1070913813795336193</v>
      </c>
      <c r="F1757" s="12" t="s">
        <v>6604</v>
      </c>
      <c r="G1757" s="12" t="s">
        <v>6605</v>
      </c>
      <c r="H1757" s="11"/>
      <c r="I1757" s="13">
        <v>0</v>
      </c>
      <c r="J1757" s="13">
        <v>0</v>
      </c>
      <c r="K1757" s="14" t="str">
        <f>HYPERLINK("https://dlvrit.com/","dlvr.it")</f>
        <v>dlvr.it</v>
      </c>
      <c r="L1757" s="13">
        <v>207</v>
      </c>
      <c r="M1757" s="13">
        <v>645</v>
      </c>
      <c r="N1757" s="13">
        <v>2</v>
      </c>
      <c r="O1757" s="15"/>
      <c r="P1757" s="6">
        <v>42110.654710648145</v>
      </c>
      <c r="Q1757" s="11"/>
      <c r="R1757" s="19" t="s">
        <v>2978</v>
      </c>
      <c r="S1757" s="11"/>
      <c r="T1757" s="11"/>
      <c r="U1757" s="10" t="str">
        <f>HYPERLINK("https://pbs.twimg.com/profile_images/844972932011053060/-B04VHVN.jpg","View")</f>
        <v>View</v>
      </c>
    </row>
    <row r="1758" spans="1:21" ht="40.799999999999997">
      <c r="A1758" s="6">
        <v>43441.270648148144</v>
      </c>
      <c r="B1758" s="7" t="str">
        <f>HYPERLINK("https://twitter.com/zgztorrero","@zgztorrero")</f>
        <v>@zgztorrero</v>
      </c>
      <c r="C1758" s="8" t="s">
        <v>6606</v>
      </c>
      <c r="D1758" s="9" t="s">
        <v>6607</v>
      </c>
      <c r="E1758" s="10" t="str">
        <f>HYPERLINK("https://twitter.com/zgztorrero/status/1070913225577938944","1070913225577938944")</f>
        <v>1070913225577938944</v>
      </c>
      <c r="F1758" s="11"/>
      <c r="G1758" s="11"/>
      <c r="H1758" s="11"/>
      <c r="I1758" s="13">
        <v>0</v>
      </c>
      <c r="J1758" s="13">
        <v>0</v>
      </c>
      <c r="K1758" s="14" t="str">
        <f>HYPERLINK("http://twitter.com/download/android","Twitter for Android")</f>
        <v>Twitter for Android</v>
      </c>
      <c r="L1758" s="13">
        <v>54</v>
      </c>
      <c r="M1758" s="13">
        <v>206</v>
      </c>
      <c r="N1758" s="13">
        <v>0</v>
      </c>
      <c r="O1758" s="15"/>
      <c r="P1758" s="6">
        <v>43402.270844907413</v>
      </c>
      <c r="Q1758" s="11"/>
      <c r="R1758" s="19" t="s">
        <v>6608</v>
      </c>
      <c r="S1758" s="11"/>
      <c r="T1758" s="11"/>
      <c r="U1758" s="10" t="str">
        <f>HYPERLINK("https://pbs.twimg.com/profile_images/1056780398716510209/yS6eni-i.jpg","View")</f>
        <v>View</v>
      </c>
    </row>
    <row r="1759" spans="1:21" ht="51">
      <c r="A1759" s="6">
        <v>43441.265011574069</v>
      </c>
      <c r="B1759" s="7" t="str">
        <f>HYPERLINK("https://twitter.com/Alfonso_Lago","@Alfonso_Lago")</f>
        <v>@Alfonso_Lago</v>
      </c>
      <c r="C1759" s="8" t="s">
        <v>1700</v>
      </c>
      <c r="D1759" s="9" t="s">
        <v>3470</v>
      </c>
      <c r="E1759" s="10" t="str">
        <f>HYPERLINK("https://twitter.com/Alfonso_Lago/status/1070911182268178437","1070911182268178437")</f>
        <v>1070911182268178437</v>
      </c>
      <c r="F1759" s="11"/>
      <c r="G1759" s="11"/>
      <c r="H1759" s="11"/>
      <c r="I1759" s="13">
        <v>0</v>
      </c>
      <c r="J1759" s="13">
        <v>0</v>
      </c>
      <c r="K1759" s="14" t="str">
        <f t="shared" ref="K1759:K1760" si="302">HYPERLINK("http://twitter.com","Twitter Web Client")</f>
        <v>Twitter Web Client</v>
      </c>
      <c r="L1759" s="13">
        <v>2052</v>
      </c>
      <c r="M1759" s="13">
        <v>1820</v>
      </c>
      <c r="N1759" s="13">
        <v>31</v>
      </c>
      <c r="O1759" s="15"/>
      <c r="P1759" s="6">
        <v>40651.50582175926</v>
      </c>
      <c r="Q1759" s="18" t="s">
        <v>1708</v>
      </c>
      <c r="R1759" s="19" t="s">
        <v>1709</v>
      </c>
      <c r="S1759" s="11"/>
      <c r="T1759" s="11"/>
      <c r="U1759" s="10" t="str">
        <f>HYPERLINK("https://pbs.twimg.com/profile_images/476290489193226240/Uax77d_1.jpeg","View")</f>
        <v>View</v>
      </c>
    </row>
    <row r="1760" spans="1:21" ht="71.400000000000006">
      <c r="A1760" s="6">
        <v>43441.258946759262</v>
      </c>
      <c r="B1760" s="7" t="str">
        <f>HYPERLINK("https://twitter.com/Manimal_Dog","@Manimal_Dog")</f>
        <v>@Manimal_Dog</v>
      </c>
      <c r="C1760" s="8" t="s">
        <v>6609</v>
      </c>
      <c r="D1760" s="9" t="s">
        <v>6610</v>
      </c>
      <c r="E1760" s="10" t="str">
        <f>HYPERLINK("https://twitter.com/Manimal_Dog/status/1070908985308561408","1070908985308561408")</f>
        <v>1070908985308561408</v>
      </c>
      <c r="F1760" s="18" t="s">
        <v>6611</v>
      </c>
      <c r="G1760" s="11"/>
      <c r="H1760" s="11"/>
      <c r="I1760" s="13">
        <v>1</v>
      </c>
      <c r="J1760" s="13">
        <v>1</v>
      </c>
      <c r="K1760" s="14" t="str">
        <f t="shared" si="302"/>
        <v>Twitter Web Client</v>
      </c>
      <c r="L1760" s="13">
        <v>3253</v>
      </c>
      <c r="M1760" s="13">
        <v>1134</v>
      </c>
      <c r="N1760" s="13">
        <v>25</v>
      </c>
      <c r="O1760" s="15"/>
      <c r="P1760" s="6">
        <v>40130.696608796294</v>
      </c>
      <c r="Q1760" s="18" t="s">
        <v>6612</v>
      </c>
      <c r="R1760" s="19" t="s">
        <v>6613</v>
      </c>
      <c r="S1760" s="11"/>
      <c r="T1760" s="11"/>
      <c r="U1760" s="10" t="str">
        <f>HYPERLINK("https://pbs.twimg.com/profile_images/3715799682/a267fe1d655bf948b8e7088930eff6e0.jpeg","View")</f>
        <v>View</v>
      </c>
    </row>
    <row r="1761" spans="1:21" ht="61.2">
      <c r="A1761" s="6">
        <v>43441.256203703699</v>
      </c>
      <c r="B1761" s="7" t="str">
        <f>HYPERLINK("https://twitter.com/soumi40","@soumi40")</f>
        <v>@soumi40</v>
      </c>
      <c r="C1761" s="8" t="s">
        <v>5140</v>
      </c>
      <c r="D1761" s="9" t="s">
        <v>6614</v>
      </c>
      <c r="E1761" s="10" t="str">
        <f>HYPERLINK("https://twitter.com/soumi40/status/1070907992646844416","1070907992646844416")</f>
        <v>1070907992646844416</v>
      </c>
      <c r="F1761" s="12" t="s">
        <v>6615</v>
      </c>
      <c r="G1761" s="11"/>
      <c r="H1761" s="11"/>
      <c r="I1761" s="13">
        <v>0</v>
      </c>
      <c r="J1761" s="13">
        <v>1</v>
      </c>
      <c r="K1761" s="14" t="str">
        <f>HYPERLINK("https://mobile.twitter.com","Twitter Lite")</f>
        <v>Twitter Lite</v>
      </c>
      <c r="L1761" s="13">
        <v>16</v>
      </c>
      <c r="M1761" s="13">
        <v>69</v>
      </c>
      <c r="N1761" s="13">
        <v>2</v>
      </c>
      <c r="O1761" s="15"/>
      <c r="P1761" s="6">
        <v>41347.86959490741</v>
      </c>
      <c r="Q1761" s="18" t="s">
        <v>307</v>
      </c>
      <c r="R1761" s="19" t="s">
        <v>5141</v>
      </c>
      <c r="S1761" s="11"/>
      <c r="T1761" s="11"/>
      <c r="U1761" s="10" t="str">
        <f>HYPERLINK("https://pbs.twimg.com/profile_images/922867707254538240/ig4Fa5mO.jpg","View")</f>
        <v>View</v>
      </c>
    </row>
    <row r="1762" spans="1:21" ht="40.799999999999997">
      <c r="A1762" s="6">
        <v>43441.254756944443</v>
      </c>
      <c r="B1762" s="7" t="str">
        <f>HYPERLINK("https://twitter.com/LodbrokRagnarr","@LodbrokRagnarr")</f>
        <v>@LodbrokRagnarr</v>
      </c>
      <c r="C1762" s="8" t="s">
        <v>6616</v>
      </c>
      <c r="D1762" s="9" t="s">
        <v>6617</v>
      </c>
      <c r="E1762" s="10" t="str">
        <f>HYPERLINK("https://twitter.com/LodbrokRagnarr/status/1070907467255681024","1070907467255681024")</f>
        <v>1070907467255681024</v>
      </c>
      <c r="F1762" s="11"/>
      <c r="G1762" s="12" t="s">
        <v>6618</v>
      </c>
      <c r="H1762" s="11"/>
      <c r="I1762" s="13">
        <v>2</v>
      </c>
      <c r="J1762" s="13">
        <v>6</v>
      </c>
      <c r="K1762" s="14" t="str">
        <f>HYPERLINK("http://twitter.com/download/iphone","Twitter for iPhone")</f>
        <v>Twitter for iPhone</v>
      </c>
      <c r="L1762" s="13">
        <v>241</v>
      </c>
      <c r="M1762" s="13">
        <v>332</v>
      </c>
      <c r="N1762" s="13">
        <v>0</v>
      </c>
      <c r="O1762" s="15"/>
      <c r="P1762" s="6">
        <v>43026.563587962963</v>
      </c>
      <c r="Q1762" s="18" t="s">
        <v>6619</v>
      </c>
      <c r="R1762" s="19" t="s">
        <v>6620</v>
      </c>
      <c r="S1762" s="11"/>
      <c r="T1762" s="11"/>
      <c r="U1762" s="10" t="str">
        <f>HYPERLINK("https://pbs.twimg.com/profile_images/1066783443009368065/AJNrAJgd.jpg","View")</f>
        <v>View</v>
      </c>
    </row>
    <row r="1763" spans="1:21" ht="30.6">
      <c r="A1763" s="6">
        <v>43441.234722222223</v>
      </c>
      <c r="B1763" s="7" t="str">
        <f>HYPERLINK("https://twitter.com/Charran_Esp","@Charran_Esp")</f>
        <v>@Charran_Esp</v>
      </c>
      <c r="C1763" s="8" t="s">
        <v>6621</v>
      </c>
      <c r="D1763" s="9" t="s">
        <v>3314</v>
      </c>
      <c r="E1763" s="10" t="str">
        <f>HYPERLINK("https://twitter.com/Charran_Esp/status/1070900209335574528","1070900209335574528")</f>
        <v>1070900209335574528</v>
      </c>
      <c r="F1763" s="12" t="s">
        <v>40</v>
      </c>
      <c r="G1763" s="11"/>
      <c r="H1763" s="11"/>
      <c r="I1763" s="13">
        <v>0</v>
      </c>
      <c r="J1763" s="13">
        <v>0</v>
      </c>
      <c r="K1763" s="14" t="str">
        <f>HYPERLINK("https://ifttt.com","IFTTT")</f>
        <v>IFTTT</v>
      </c>
      <c r="L1763" s="13">
        <v>62</v>
      </c>
      <c r="M1763" s="13">
        <v>71</v>
      </c>
      <c r="N1763" s="13">
        <v>0</v>
      </c>
      <c r="O1763" s="15"/>
      <c r="P1763" s="6">
        <v>42915.451712962968</v>
      </c>
      <c r="Q1763" s="18" t="s">
        <v>42</v>
      </c>
      <c r="R1763" s="19" t="s">
        <v>6622</v>
      </c>
      <c r="S1763" s="11"/>
      <c r="T1763" s="11"/>
      <c r="U1763" s="10" t="str">
        <f>HYPERLINK("https://pbs.twimg.com/profile_images/880349188244078592/vsdcBU4x.jpg","View")</f>
        <v>View</v>
      </c>
    </row>
    <row r="1764" spans="1:21" ht="40.799999999999997">
      <c r="A1764" s="6">
        <v>43441.23373842593</v>
      </c>
      <c r="B1764" s="7" t="str">
        <f>HYPERLINK("https://twitter.com/CarlosBasabe4","@CarlosBasabe4")</f>
        <v>@CarlosBasabe4</v>
      </c>
      <c r="C1764" s="8" t="s">
        <v>6623</v>
      </c>
      <c r="D1764" s="9" t="s">
        <v>6624</v>
      </c>
      <c r="E1764" s="10" t="str">
        <f>HYPERLINK("https://twitter.com/CarlosBasabe4/status/1070899849149800449","1070899849149800449")</f>
        <v>1070899849149800449</v>
      </c>
      <c r="F1764" s="12" t="s">
        <v>6625</v>
      </c>
      <c r="G1764" s="12" t="s">
        <v>6626</v>
      </c>
      <c r="H1764" s="11"/>
      <c r="I1764" s="13">
        <v>0</v>
      </c>
      <c r="J1764" s="13">
        <v>0</v>
      </c>
      <c r="K1764" s="14" t="str">
        <f>HYPERLINK("http://twitter.com/download/android","Twitter for Android")</f>
        <v>Twitter for Android</v>
      </c>
      <c r="L1764" s="13">
        <v>1495</v>
      </c>
      <c r="M1764" s="13">
        <v>4999</v>
      </c>
      <c r="N1764" s="13">
        <v>3</v>
      </c>
      <c r="O1764" s="15"/>
      <c r="P1764" s="6">
        <v>43042.109201388885</v>
      </c>
      <c r="Q1764" s="18" t="s">
        <v>6627</v>
      </c>
      <c r="R1764" s="19" t="s">
        <v>6628</v>
      </c>
      <c r="S1764" s="11"/>
      <c r="T1764" s="11"/>
      <c r="U1764" s="10" t="str">
        <f>HYPERLINK("https://pbs.twimg.com/profile_images/1002944252354195457/jSQJRNy2.jpg","View")</f>
        <v>View</v>
      </c>
    </row>
    <row r="1765" spans="1:21" ht="40.799999999999997">
      <c r="A1765" s="6">
        <v>43441.233206018514</v>
      </c>
      <c r="B1765" s="7" t="str">
        <f>HYPERLINK("https://twitter.com/ESdiario_com","@ESdiario_com")</f>
        <v>@ESdiario_com</v>
      </c>
      <c r="C1765" s="8" t="s">
        <v>3431</v>
      </c>
      <c r="D1765" s="9" t="s">
        <v>3314</v>
      </c>
      <c r="E1765" s="10" t="str">
        <f>HYPERLINK("https://twitter.com/ESdiario_com/status/1070899658715787266","1070899658715787266")</f>
        <v>1070899658715787266</v>
      </c>
      <c r="F1765" s="12" t="s">
        <v>40</v>
      </c>
      <c r="G1765" s="11"/>
      <c r="H1765" s="11"/>
      <c r="I1765" s="13">
        <v>5</v>
      </c>
      <c r="J1765" s="13">
        <v>11</v>
      </c>
      <c r="K1765" s="14" t="str">
        <f>HYPERLINK("http://twitter.com/#!/download/ipad","Twitter for iPad")</f>
        <v>Twitter for iPad</v>
      </c>
      <c r="L1765" s="13">
        <v>30936</v>
      </c>
      <c r="M1765" s="13">
        <v>707</v>
      </c>
      <c r="N1765" s="13">
        <v>497</v>
      </c>
      <c r="O1765" s="15"/>
      <c r="P1765" s="6">
        <v>40584.500949074078</v>
      </c>
      <c r="Q1765" s="18" t="s">
        <v>173</v>
      </c>
      <c r="R1765" s="19" t="s">
        <v>3434</v>
      </c>
      <c r="S1765" s="12" t="s">
        <v>3435</v>
      </c>
      <c r="T1765" s="11"/>
      <c r="U1765" s="10" t="str">
        <f>HYPERLINK("https://pbs.twimg.com/profile_images/708363281308753920/7qh3akOb.jpg","View")</f>
        <v>View</v>
      </c>
    </row>
    <row r="1766" spans="1:21" ht="40.799999999999997">
      <c r="A1766" s="6">
        <v>43441.230821759258</v>
      </c>
      <c r="B1766" s="7" t="str">
        <f>HYPERLINK("https://twitter.com/sin_politicos","@sin_politicos")</f>
        <v>@sin_politicos</v>
      </c>
      <c r="C1766" s="8" t="s">
        <v>6629</v>
      </c>
      <c r="D1766" s="9" t="s">
        <v>6630</v>
      </c>
      <c r="E1766" s="10" t="str">
        <f>HYPERLINK("https://twitter.com/sin_politicos/status/1070898792575197184","1070898792575197184")</f>
        <v>1070898792575197184</v>
      </c>
      <c r="F1766" s="18" t="s">
        <v>6631</v>
      </c>
      <c r="G1766" s="11"/>
      <c r="H1766" s="11"/>
      <c r="I1766" s="13">
        <v>0</v>
      </c>
      <c r="J1766" s="13">
        <v>0</v>
      </c>
      <c r="K1766" s="14" t="str">
        <f>HYPERLINK("http://twitter.com/download/android","Twitter for Android")</f>
        <v>Twitter for Android</v>
      </c>
      <c r="L1766" s="13">
        <v>165</v>
      </c>
      <c r="M1766" s="13">
        <v>398</v>
      </c>
      <c r="N1766" s="13">
        <v>3</v>
      </c>
      <c r="O1766" s="15"/>
      <c r="P1766" s="6">
        <v>40679.742060185185</v>
      </c>
      <c r="Q1766" s="18" t="s">
        <v>307</v>
      </c>
      <c r="R1766" s="19" t="s">
        <v>6632</v>
      </c>
      <c r="S1766" s="11"/>
      <c r="T1766" s="11"/>
      <c r="U1766" s="10" t="str">
        <f>HYPERLINK("https://pbs.twimg.com/profile_images/1010569324665307136/LRkbpTiN.jpg","View")</f>
        <v>View</v>
      </c>
    </row>
    <row r="1767" spans="1:21" ht="51">
      <c r="A1767" s="6">
        <v>43441.227268518516</v>
      </c>
      <c r="B1767" s="7" t="str">
        <f>HYPERLINK("https://twitter.com/ZHUA84192378","@ZHUA84192378")</f>
        <v>@ZHUA84192378</v>
      </c>
      <c r="C1767" s="8" t="s">
        <v>6633</v>
      </c>
      <c r="D1767" s="9" t="s">
        <v>6634</v>
      </c>
      <c r="E1767" s="10" t="str">
        <f>HYPERLINK("https://twitter.com/ZHUA84192378/status/1070897504789643264","1070897504789643264")</f>
        <v>1070897504789643264</v>
      </c>
      <c r="F1767" s="12" t="s">
        <v>6635</v>
      </c>
      <c r="G1767" s="11"/>
      <c r="H1767" s="11"/>
      <c r="I1767" s="13">
        <v>0</v>
      </c>
      <c r="J1767" s="13">
        <v>0</v>
      </c>
      <c r="K1767" s="14" t="str">
        <f>HYPERLINK("http://twitter.com","Twitter Web Client")</f>
        <v>Twitter Web Client</v>
      </c>
      <c r="L1767" s="13">
        <v>107</v>
      </c>
      <c r="M1767" s="13">
        <v>129</v>
      </c>
      <c r="N1767" s="13">
        <v>0</v>
      </c>
      <c r="O1767" s="15"/>
      <c r="P1767" s="6">
        <v>43264.299004629633</v>
      </c>
      <c r="Q1767" s="18" t="s">
        <v>6636</v>
      </c>
      <c r="R1767" s="17"/>
      <c r="S1767" s="11"/>
      <c r="T1767" s="11"/>
      <c r="U1767" s="10" t="str">
        <f>HYPERLINK("https://pbs.twimg.com/profile_images/1006881470038904832/AHCOISNN.jpg","View")</f>
        <v>View</v>
      </c>
    </row>
    <row r="1768" spans="1:21" ht="40.799999999999997">
      <c r="A1768" s="6">
        <v>43441.219490740739</v>
      </c>
      <c r="B1768" s="7" t="str">
        <f>HYPERLINK("https://twitter.com/Dianaplazam","@Dianaplazam")</f>
        <v>@Dianaplazam</v>
      </c>
      <c r="C1768" s="8" t="s">
        <v>3472</v>
      </c>
      <c r="D1768" s="9" t="s">
        <v>3473</v>
      </c>
      <c r="E1768" s="10" t="str">
        <f>HYPERLINK("https://twitter.com/Dianaplazam/status/1070894685927948288","1070894685927948288")</f>
        <v>1070894685927948288</v>
      </c>
      <c r="F1768" s="12" t="s">
        <v>572</v>
      </c>
      <c r="G1768" s="11"/>
      <c r="H1768" s="11"/>
      <c r="I1768" s="13">
        <v>0</v>
      </c>
      <c r="J1768" s="13">
        <v>3</v>
      </c>
      <c r="K1768" s="14" t="str">
        <f>HYPERLINK("http://twitter.com/download/iphone","Twitter for iPhone")</f>
        <v>Twitter for iPhone</v>
      </c>
      <c r="L1768" s="13">
        <v>325</v>
      </c>
      <c r="M1768" s="13">
        <v>625</v>
      </c>
      <c r="N1768" s="13">
        <v>3</v>
      </c>
      <c r="O1768" s="15"/>
      <c r="P1768" s="6">
        <v>40998.143576388888</v>
      </c>
      <c r="Q1768" s="11"/>
      <c r="R1768" s="19" t="s">
        <v>3474</v>
      </c>
      <c r="S1768" s="12" t="s">
        <v>3475</v>
      </c>
      <c r="T1768" s="11"/>
      <c r="U1768" s="10" t="str">
        <f>HYPERLINK("https://pbs.twimg.com/profile_images/1048068311865593857/IBFs2Tbz.jpg","View")</f>
        <v>View</v>
      </c>
    </row>
    <row r="1769" spans="1:21" ht="102">
      <c r="A1769" s="6">
        <v>43441.217627314814</v>
      </c>
      <c r="B1769" s="7" t="str">
        <f>HYPERLINK("https://twitter.com/Gallo_FT","@Gallo_FT")</f>
        <v>@Gallo_FT</v>
      </c>
      <c r="C1769" s="8" t="s">
        <v>3476</v>
      </c>
      <c r="D1769" s="9" t="s">
        <v>3477</v>
      </c>
      <c r="E1769" s="10" t="str">
        <f>HYPERLINK("https://twitter.com/Gallo_FT/status/1070894012360519681","1070894012360519681")</f>
        <v>1070894012360519681</v>
      </c>
      <c r="F1769" s="18" t="s">
        <v>3478</v>
      </c>
      <c r="G1769" s="11"/>
      <c r="H1769" s="11"/>
      <c r="I1769" s="13">
        <v>0</v>
      </c>
      <c r="J1769" s="13">
        <v>0</v>
      </c>
      <c r="K1769" s="14" t="str">
        <f t="shared" ref="K1769:K1771" si="303">HYPERLINK("http://twitter.com/download/android","Twitter for Android")</f>
        <v>Twitter for Android</v>
      </c>
      <c r="L1769" s="13">
        <v>91</v>
      </c>
      <c r="M1769" s="13">
        <v>572</v>
      </c>
      <c r="N1769" s="13">
        <v>1</v>
      </c>
      <c r="O1769" s="15"/>
      <c r="P1769" s="6">
        <v>41351.849664351852</v>
      </c>
      <c r="Q1769" s="18" t="s">
        <v>513</v>
      </c>
      <c r="R1769" s="19" t="s">
        <v>3479</v>
      </c>
      <c r="S1769" s="11"/>
      <c r="T1769" s="11"/>
      <c r="U1769" s="10" t="str">
        <f>HYPERLINK("https://pbs.twimg.com/profile_images/943280059749675009/DBtzxtDf.jpg","View")</f>
        <v>View</v>
      </c>
    </row>
    <row r="1770" spans="1:21" ht="91.8">
      <c r="A1770" s="6">
        <v>43441.19699074074</v>
      </c>
      <c r="B1770" s="7" t="str">
        <f>HYPERLINK("https://twitter.com/AnnaMartin1978_","@AnnaMartin1978_")</f>
        <v>@AnnaMartin1978_</v>
      </c>
      <c r="C1770" s="8" t="s">
        <v>3480</v>
      </c>
      <c r="D1770" s="9" t="s">
        <v>3481</v>
      </c>
      <c r="E1770" s="10" t="str">
        <f>HYPERLINK("https://twitter.com/AnnaMartin1978_/status/1070886535506092032","1070886535506092032")</f>
        <v>1070886535506092032</v>
      </c>
      <c r="F1770" s="12" t="s">
        <v>3482</v>
      </c>
      <c r="G1770" s="12" t="s">
        <v>3483</v>
      </c>
      <c r="H1770" s="11"/>
      <c r="I1770" s="13">
        <v>0</v>
      </c>
      <c r="J1770" s="13">
        <v>0</v>
      </c>
      <c r="K1770" s="14" t="str">
        <f t="shared" si="303"/>
        <v>Twitter for Android</v>
      </c>
      <c r="L1770" s="13">
        <v>641</v>
      </c>
      <c r="M1770" s="13">
        <v>1692</v>
      </c>
      <c r="N1770" s="13">
        <v>6</v>
      </c>
      <c r="O1770" s="15"/>
      <c r="P1770" s="6">
        <v>42490.954259259262</v>
      </c>
      <c r="Q1770" s="18" t="s">
        <v>339</v>
      </c>
      <c r="R1770" s="19" t="s">
        <v>3484</v>
      </c>
      <c r="S1770" s="11"/>
      <c r="T1770" s="11"/>
      <c r="U1770" s="10" t="str">
        <f>HYPERLINK("https://pbs.twimg.com/profile_images/1049428792861704192/ftpkgFI4.jpg","View")</f>
        <v>View</v>
      </c>
    </row>
    <row r="1771" spans="1:21" ht="20.399999999999999">
      <c r="A1771" s="6">
        <v>43441.196388888886</v>
      </c>
      <c r="B1771" s="7" t="str">
        <f>HYPERLINK("https://twitter.com/angsimpa","@angsimpa")</f>
        <v>@angsimpa</v>
      </c>
      <c r="C1771" s="8" t="s">
        <v>2090</v>
      </c>
      <c r="D1771" s="9" t="s">
        <v>6637</v>
      </c>
      <c r="E1771" s="10" t="str">
        <f>HYPERLINK("https://twitter.com/angsimpa/status/1070886314768244738","1070886314768244738")</f>
        <v>1070886314768244738</v>
      </c>
      <c r="F1771" s="12" t="s">
        <v>3589</v>
      </c>
      <c r="G1771" s="11"/>
      <c r="H1771" s="11"/>
      <c r="I1771" s="13">
        <v>0</v>
      </c>
      <c r="J1771" s="13">
        <v>0</v>
      </c>
      <c r="K1771" s="14" t="str">
        <f t="shared" si="303"/>
        <v>Twitter for Android</v>
      </c>
      <c r="L1771" s="13">
        <v>4288</v>
      </c>
      <c r="M1771" s="13">
        <v>3979</v>
      </c>
      <c r="N1771" s="13">
        <v>170</v>
      </c>
      <c r="O1771" s="15"/>
      <c r="P1771" s="6">
        <v>40551.036354166667</v>
      </c>
      <c r="Q1771" s="11"/>
      <c r="R1771" s="19" t="s">
        <v>2095</v>
      </c>
      <c r="S1771" s="11"/>
      <c r="T1771" s="11"/>
      <c r="U1771" s="10" t="str">
        <f>HYPERLINK("https://pbs.twimg.com/profile_images/1021373803350450177/YdPasB9Q.jpg","View")</f>
        <v>View</v>
      </c>
    </row>
    <row r="1772" spans="1:21" ht="40.799999999999997">
      <c r="A1772" s="6">
        <v>43441.195694444439</v>
      </c>
      <c r="B1772" s="7" t="str">
        <f>HYPERLINK("https://twitter.com/AdeSiracusa","@AdeSiracusa")</f>
        <v>@AdeSiracusa</v>
      </c>
      <c r="C1772" s="8" t="s">
        <v>682</v>
      </c>
      <c r="D1772" s="9" t="s">
        <v>6638</v>
      </c>
      <c r="E1772" s="10" t="str">
        <f>HYPERLINK("https://twitter.com/AdeSiracusa/status/1070886064053731328","1070886064053731328")</f>
        <v>1070886064053731328</v>
      </c>
      <c r="F1772" s="12" t="s">
        <v>687</v>
      </c>
      <c r="G1772" s="11"/>
      <c r="H1772" s="11"/>
      <c r="I1772" s="13">
        <v>0</v>
      </c>
      <c r="J1772" s="13">
        <v>0</v>
      </c>
      <c r="K1772" s="14" t="str">
        <f>HYPERLINK("http://www.republicosvenezuela.com/","AdeSiracusa")</f>
        <v>AdeSiracusa</v>
      </c>
      <c r="L1772" s="13">
        <v>4091</v>
      </c>
      <c r="M1772" s="13">
        <v>4122</v>
      </c>
      <c r="N1772" s="13">
        <v>12</v>
      </c>
      <c r="O1772" s="15"/>
      <c r="P1772" s="6">
        <v>42958.576388888891</v>
      </c>
      <c r="Q1772" s="18" t="s">
        <v>689</v>
      </c>
      <c r="R1772" s="19" t="s">
        <v>690</v>
      </c>
      <c r="S1772" s="11"/>
      <c r="T1772" s="11"/>
      <c r="U1772" s="10" t="str">
        <f>HYPERLINK("https://pbs.twimg.com/profile_images/895978354591105024/x2wNXrPl.jpg","View")</f>
        <v>View</v>
      </c>
    </row>
    <row r="1773" spans="1:21" ht="51">
      <c r="A1773" s="6">
        <v>43441.191944444443</v>
      </c>
      <c r="B1773" s="7" t="str">
        <f>HYPERLINK("https://twitter.com/andaluzesCAT","@andaluzesCAT")</f>
        <v>@andaluzesCAT</v>
      </c>
      <c r="C1773" s="8" t="s">
        <v>3485</v>
      </c>
      <c r="D1773" s="9" t="s">
        <v>3486</v>
      </c>
      <c r="E1773" s="10" t="str">
        <f>HYPERLINK("https://twitter.com/andaluzesCAT/status/1070884703601876993","1070884703601876993")</f>
        <v>1070884703601876993</v>
      </c>
      <c r="F1773" s="11"/>
      <c r="G1773" s="12" t="s">
        <v>3487</v>
      </c>
      <c r="H1773" s="11"/>
      <c r="I1773" s="13">
        <v>0</v>
      </c>
      <c r="J1773" s="13">
        <v>0</v>
      </c>
      <c r="K1773" s="14" t="str">
        <f>HYPERLINK("http://twitter.com/download/android","Twitter for Android")</f>
        <v>Twitter for Android</v>
      </c>
      <c r="L1773" s="13">
        <v>144</v>
      </c>
      <c r="M1773" s="13">
        <v>192</v>
      </c>
      <c r="N1773" s="13">
        <v>0</v>
      </c>
      <c r="O1773" s="15"/>
      <c r="P1773" s="6">
        <v>43193.07413194445</v>
      </c>
      <c r="Q1773" s="11"/>
      <c r="R1773" s="19" t="s">
        <v>3488</v>
      </c>
      <c r="S1773" s="11"/>
      <c r="T1773" s="11"/>
      <c r="U1773" s="10" t="str">
        <f>HYPERLINK("https://pbs.twimg.com/profile_images/980974768605351936/Bi4OjQE_.jpg","View")</f>
        <v>View</v>
      </c>
    </row>
    <row r="1774" spans="1:21" ht="40.799999999999997">
      <c r="A1774" s="6">
        <v>43441.187604166669</v>
      </c>
      <c r="B1774" s="7" t="str">
        <f>HYPERLINK("https://twitter.com/lextresabogados","@lextresabogados")</f>
        <v>@lextresabogados</v>
      </c>
      <c r="C1774" s="8" t="s">
        <v>457</v>
      </c>
      <c r="D1774" s="9" t="s">
        <v>6639</v>
      </c>
      <c r="E1774" s="10" t="str">
        <f>HYPERLINK("https://twitter.com/lextresabogados/status/1070883131480268800","1070883131480268800")</f>
        <v>1070883131480268800</v>
      </c>
      <c r="F1774" s="12" t="s">
        <v>3492</v>
      </c>
      <c r="G1774" s="12" t="s">
        <v>6555</v>
      </c>
      <c r="H1774" s="11"/>
      <c r="I1774" s="13">
        <v>0</v>
      </c>
      <c r="J1774" s="13">
        <v>1</v>
      </c>
      <c r="K1774" s="14" t="str">
        <f>HYPERLINK("http://35.180.36.179","botize nueva")</f>
        <v>botize nueva</v>
      </c>
      <c r="L1774" s="13">
        <v>2912</v>
      </c>
      <c r="M1774" s="13">
        <v>3525</v>
      </c>
      <c r="N1774" s="13">
        <v>26</v>
      </c>
      <c r="O1774" s="15"/>
      <c r="P1774" s="6">
        <v>42880.770949074074</v>
      </c>
      <c r="Q1774" s="18" t="s">
        <v>467</v>
      </c>
      <c r="R1774" s="19" t="s">
        <v>468</v>
      </c>
      <c r="S1774" s="12" t="s">
        <v>469</v>
      </c>
      <c r="T1774" s="11"/>
      <c r="U1774" s="10" t="str">
        <f>HYPERLINK("https://pbs.twimg.com/profile_images/1068056978679898113/YnjKwiVy.jpg","View")</f>
        <v>View</v>
      </c>
    </row>
    <row r="1775" spans="1:21" ht="40.799999999999997">
      <c r="A1775" s="6">
        <v>43441.1875</v>
      </c>
      <c r="B1775" s="7" t="str">
        <f>HYPERLINK("https://twitter.com/larazon_es","@larazon_es")</f>
        <v>@larazon_es</v>
      </c>
      <c r="C1775" s="8" t="s">
        <v>87</v>
      </c>
      <c r="D1775" s="9" t="s">
        <v>3489</v>
      </c>
      <c r="E1775" s="10" t="str">
        <f>HYPERLINK("https://twitter.com/larazon_es/status/1070883096000688128","1070883096000688128")</f>
        <v>1070883096000688128</v>
      </c>
      <c r="F1775" s="12" t="s">
        <v>3492</v>
      </c>
      <c r="G1775" s="12" t="s">
        <v>3493</v>
      </c>
      <c r="H1775" s="11"/>
      <c r="I1775" s="13">
        <v>5</v>
      </c>
      <c r="J1775" s="13">
        <v>2</v>
      </c>
      <c r="K1775" s="14" t="str">
        <f>HYPERLINK("http://dogtrack.es","DogTrack_Oficial")</f>
        <v>DogTrack_Oficial</v>
      </c>
      <c r="L1775" s="13">
        <v>442246</v>
      </c>
      <c r="M1775" s="13">
        <v>2961</v>
      </c>
      <c r="N1775" s="13">
        <v>6161</v>
      </c>
      <c r="O1775" s="16" t="s">
        <v>25</v>
      </c>
      <c r="P1775" s="6">
        <v>40218.530092592591</v>
      </c>
      <c r="Q1775" s="18" t="s">
        <v>42</v>
      </c>
      <c r="R1775" s="19" t="s">
        <v>93</v>
      </c>
      <c r="S1775" s="12" t="s">
        <v>94</v>
      </c>
      <c r="T1775" s="11"/>
      <c r="U1775" s="10" t="str">
        <f>HYPERLINK("https://pbs.twimg.com/profile_images/1038331271108341762/TPuwz6wc.jpg","View")</f>
        <v>View</v>
      </c>
    </row>
    <row r="1776" spans="1:21" ht="71.400000000000006">
      <c r="A1776" s="6">
        <v>43441.182650462964</v>
      </c>
      <c r="B1776" s="7" t="str">
        <f>HYPERLINK("https://twitter.com/Hecosw","@Hecosw")</f>
        <v>@Hecosw</v>
      </c>
      <c r="C1776" s="8" t="s">
        <v>3497</v>
      </c>
      <c r="D1776" s="9" t="s">
        <v>3498</v>
      </c>
      <c r="E1776" s="10" t="str">
        <f>HYPERLINK("https://twitter.com/Hecosw/status/1070881339124183041","1070881339124183041")</f>
        <v>1070881339124183041</v>
      </c>
      <c r="F1776" s="18" t="s">
        <v>3499</v>
      </c>
      <c r="G1776" s="11"/>
      <c r="H1776" s="11"/>
      <c r="I1776" s="13">
        <v>1</v>
      </c>
      <c r="J1776" s="13">
        <v>1</v>
      </c>
      <c r="K1776" s="14" t="str">
        <f t="shared" ref="K1776:K1777" si="304">HYPERLINK("http://twitter.com/download/android","Twitter for Android")</f>
        <v>Twitter for Android</v>
      </c>
      <c r="L1776" s="13">
        <v>1970</v>
      </c>
      <c r="M1776" s="13">
        <v>1800</v>
      </c>
      <c r="N1776" s="13">
        <v>21</v>
      </c>
      <c r="O1776" s="15"/>
      <c r="P1776" s="6">
        <v>40707.879583333335</v>
      </c>
      <c r="Q1776" s="18" t="s">
        <v>3501</v>
      </c>
      <c r="R1776" s="19" t="s">
        <v>3502</v>
      </c>
      <c r="S1776" s="12" t="s">
        <v>3503</v>
      </c>
      <c r="T1776" s="11"/>
      <c r="U1776" s="10" t="str">
        <f>HYPERLINK("https://pbs.twimg.com/profile_images/950683475845279744/tgAxfc2o.jpg","View")</f>
        <v>View</v>
      </c>
    </row>
    <row r="1777" spans="1:21" ht="102">
      <c r="A1777" s="6">
        <v>43441.174467592587</v>
      </c>
      <c r="B1777" s="7" t="str">
        <f>HYPERLINK("https://twitter.com/AlbertoLob","@AlbertoLob")</f>
        <v>@AlbertoLob</v>
      </c>
      <c r="C1777" s="8" t="s">
        <v>3504</v>
      </c>
      <c r="D1777" s="9" t="s">
        <v>3505</v>
      </c>
      <c r="E1777" s="10" t="str">
        <f>HYPERLINK("https://twitter.com/AlbertoLob/status/1070878373252087808","1070878373252087808")</f>
        <v>1070878373252087808</v>
      </c>
      <c r="F1777" s="12" t="s">
        <v>1883</v>
      </c>
      <c r="G1777" s="11"/>
      <c r="H1777" s="11"/>
      <c r="I1777" s="13">
        <v>0</v>
      </c>
      <c r="J1777" s="13">
        <v>1</v>
      </c>
      <c r="K1777" s="14" t="str">
        <f t="shared" si="304"/>
        <v>Twitter for Android</v>
      </c>
      <c r="L1777" s="13">
        <v>136</v>
      </c>
      <c r="M1777" s="13">
        <v>596</v>
      </c>
      <c r="N1777" s="13">
        <v>0</v>
      </c>
      <c r="O1777" s="15"/>
      <c r="P1777" s="6">
        <v>40703.043703703705</v>
      </c>
      <c r="Q1777" s="18" t="s">
        <v>3506</v>
      </c>
      <c r="R1777" s="19" t="s">
        <v>3507</v>
      </c>
      <c r="S1777" s="11"/>
      <c r="T1777" s="11"/>
      <c r="U1777" s="10" t="str">
        <f>HYPERLINK("https://pbs.twimg.com/profile_images/483649941345009665/848FA8To.jpeg","View")</f>
        <v>View</v>
      </c>
    </row>
    <row r="1778" spans="1:21" ht="102">
      <c r="A1778" s="6">
        <v>43441.173356481479</v>
      </c>
      <c r="B1778" s="7" t="str">
        <f>HYPERLINK("https://twitter.com/MasculinismoEsp","@MasculinismoEsp")</f>
        <v>@MasculinismoEsp</v>
      </c>
      <c r="C1778" s="8" t="s">
        <v>3508</v>
      </c>
      <c r="D1778" s="9" t="s">
        <v>3509</v>
      </c>
      <c r="E1778" s="10" t="str">
        <f>HYPERLINK("https://twitter.com/MasculinismoEsp/status/1070877967625191424","1070877967625191424")</f>
        <v>1070877967625191424</v>
      </c>
      <c r="F1778" s="12" t="s">
        <v>3510</v>
      </c>
      <c r="G1778" s="12" t="s">
        <v>735</v>
      </c>
      <c r="H1778" s="11"/>
      <c r="I1778" s="13">
        <v>8</v>
      </c>
      <c r="J1778" s="13">
        <v>28</v>
      </c>
      <c r="K1778" s="14" t="str">
        <f>HYPERLINK("http://twitter.com","Twitter Web Client")</f>
        <v>Twitter Web Client</v>
      </c>
      <c r="L1778" s="13">
        <v>5940</v>
      </c>
      <c r="M1778" s="13">
        <v>688</v>
      </c>
      <c r="N1778" s="13">
        <v>80</v>
      </c>
      <c r="O1778" s="15"/>
      <c r="P1778" s="6">
        <v>42129.137881944444</v>
      </c>
      <c r="Q1778" s="18" t="s">
        <v>42</v>
      </c>
      <c r="R1778" s="19" t="s">
        <v>3511</v>
      </c>
      <c r="S1778" s="12" t="s">
        <v>3512</v>
      </c>
      <c r="T1778" s="11"/>
      <c r="U1778" s="10" t="str">
        <f>HYPERLINK("https://pbs.twimg.com/profile_images/979033867742011393/gAILWZK7.jpg","View")</f>
        <v>View</v>
      </c>
    </row>
    <row r="1779" spans="1:21" ht="20.399999999999999">
      <c r="A1779" s="6">
        <v>43441.168761574074</v>
      </c>
      <c r="B1779" s="7" t="str">
        <f>HYPERLINK("https://twitter.com/sumariumcom","@sumariumcom")</f>
        <v>@sumariumcom</v>
      </c>
      <c r="C1779" s="8" t="s">
        <v>4153</v>
      </c>
      <c r="D1779" s="9" t="s">
        <v>6640</v>
      </c>
      <c r="E1779" s="10" t="str">
        <f>HYPERLINK("https://twitter.com/sumariumcom/status/1070876302880661504","1070876302880661504")</f>
        <v>1070876302880661504</v>
      </c>
      <c r="F1779" s="12" t="s">
        <v>6641</v>
      </c>
      <c r="G1779" s="12" t="s">
        <v>6642</v>
      </c>
      <c r="H1779" s="11"/>
      <c r="I1779" s="13">
        <v>3</v>
      </c>
      <c r="J1779" s="13">
        <v>0</v>
      </c>
      <c r="K1779" s="14" t="str">
        <f>HYPERLINK("https://about.twitter.com/products/tweetdeck","TweetDeck")</f>
        <v>TweetDeck</v>
      </c>
      <c r="L1779" s="13">
        <v>164401</v>
      </c>
      <c r="M1779" s="13">
        <v>996</v>
      </c>
      <c r="N1779" s="13">
        <v>1122</v>
      </c>
      <c r="O1779" s="15"/>
      <c r="P1779" s="6">
        <v>40977.809594907405</v>
      </c>
      <c r="Q1779" s="18" t="s">
        <v>4159</v>
      </c>
      <c r="R1779" s="17"/>
      <c r="S1779" s="12" t="s">
        <v>4160</v>
      </c>
      <c r="T1779" s="11"/>
      <c r="U1779" s="10" t="str">
        <f>HYPERLINK("https://pbs.twimg.com/profile_images/1061987847874469888/mok5IDTt.jpg","View")</f>
        <v>View</v>
      </c>
    </row>
    <row r="1780" spans="1:21" ht="40.799999999999997">
      <c r="A1780" s="6">
        <v>43441.167650462958</v>
      </c>
      <c r="B1780" s="7" t="str">
        <f>HYPERLINK("https://twitter.com/Abel_Franc","@Abel_Franc")</f>
        <v>@Abel_Franc</v>
      </c>
      <c r="C1780" s="8" t="s">
        <v>3531</v>
      </c>
      <c r="D1780" s="9" t="s">
        <v>6643</v>
      </c>
      <c r="E1780" s="10" t="str">
        <f>HYPERLINK("https://twitter.com/Abel_Franc/status/1070875900198174720","1070875900198174720")</f>
        <v>1070875900198174720</v>
      </c>
      <c r="F1780" s="12" t="s">
        <v>6644</v>
      </c>
      <c r="G1780" s="11"/>
      <c r="H1780" s="11"/>
      <c r="I1780" s="13">
        <v>0</v>
      </c>
      <c r="J1780" s="13">
        <v>0</v>
      </c>
      <c r="K1780" s="14" t="str">
        <f t="shared" ref="K1780:K1781" si="305">HYPERLINK("http://twitter.com/download/android","Twitter for Android")</f>
        <v>Twitter for Android</v>
      </c>
      <c r="L1780" s="13">
        <v>1552</v>
      </c>
      <c r="M1780" s="13">
        <v>2171</v>
      </c>
      <c r="N1780" s="13">
        <v>25</v>
      </c>
      <c r="O1780" s="15"/>
      <c r="P1780" s="6">
        <v>40669.533275462964</v>
      </c>
      <c r="Q1780" s="18" t="s">
        <v>3533</v>
      </c>
      <c r="R1780" s="19" t="s">
        <v>3534</v>
      </c>
      <c r="S1780" s="12" t="s">
        <v>3535</v>
      </c>
      <c r="T1780" s="11"/>
      <c r="U1780" s="10" t="str">
        <f>HYPERLINK("https://pbs.twimg.com/profile_images/1024355260800946179/0-gf4ZgV.jpg","View")</f>
        <v>View</v>
      </c>
    </row>
    <row r="1781" spans="1:21" ht="71.400000000000006">
      <c r="A1781" s="6">
        <v>43441.157569444447</v>
      </c>
      <c r="B1781" s="7" t="str">
        <f>HYPERLINK("https://twitter.com/Yo86318226","@Yo86318226")</f>
        <v>@Yo86318226</v>
      </c>
      <c r="C1781" s="8" t="s">
        <v>6645</v>
      </c>
      <c r="D1781" s="9" t="s">
        <v>6646</v>
      </c>
      <c r="E1781" s="10" t="str">
        <f>HYPERLINK("https://twitter.com/Yo86318226/status/1070872250369363973","1070872250369363973")</f>
        <v>1070872250369363973</v>
      </c>
      <c r="F1781" s="12" t="s">
        <v>6647</v>
      </c>
      <c r="G1781" s="11"/>
      <c r="H1781" s="11"/>
      <c r="I1781" s="13">
        <v>0</v>
      </c>
      <c r="J1781" s="13">
        <v>0</v>
      </c>
      <c r="K1781" s="14" t="str">
        <f t="shared" si="305"/>
        <v>Twitter for Android</v>
      </c>
      <c r="L1781" s="13">
        <v>666</v>
      </c>
      <c r="M1781" s="13">
        <v>753</v>
      </c>
      <c r="N1781" s="13">
        <v>0</v>
      </c>
      <c r="O1781" s="15"/>
      <c r="P1781" s="6">
        <v>43351.999502314815</v>
      </c>
      <c r="Q1781" s="11"/>
      <c r="R1781" s="19" t="s">
        <v>6648</v>
      </c>
      <c r="S1781" s="11"/>
      <c r="T1781" s="11"/>
      <c r="U1781" s="10" t="str">
        <f>HYPERLINK("https://pbs.twimg.com/profile_images/1063699372880338944/7uk73H-X.jpg","View")</f>
        <v>View</v>
      </c>
    </row>
    <row r="1782" spans="1:21" ht="20.399999999999999">
      <c r="A1782" s="6">
        <v>43441.136331018519</v>
      </c>
      <c r="B1782" s="7" t="str">
        <f>HYPERLINK("https://twitter.com/Nomka007","@Nomka007")</f>
        <v>@Nomka007</v>
      </c>
      <c r="C1782" s="8" t="s">
        <v>6649</v>
      </c>
      <c r="D1782" s="9" t="s">
        <v>6650</v>
      </c>
      <c r="E1782" s="10" t="str">
        <f>HYPERLINK("https://twitter.com/Nomka007/status/1070864551539863554","1070864551539863554")</f>
        <v>1070864551539863554</v>
      </c>
      <c r="F1782" s="12" t="s">
        <v>4361</v>
      </c>
      <c r="G1782" s="11"/>
      <c r="H1782" s="11"/>
      <c r="I1782" s="13">
        <v>0</v>
      </c>
      <c r="J1782" s="13">
        <v>0</v>
      </c>
      <c r="K1782" s="14" t="str">
        <f>HYPERLINK("https://www.google.com/","Google")</f>
        <v>Google</v>
      </c>
      <c r="L1782" s="13">
        <v>87</v>
      </c>
      <c r="M1782" s="13">
        <v>1053</v>
      </c>
      <c r="N1782" s="13">
        <v>5</v>
      </c>
      <c r="O1782" s="15"/>
      <c r="P1782" s="6">
        <v>41778.94259259259</v>
      </c>
      <c r="Q1782" s="11"/>
      <c r="R1782" s="17"/>
      <c r="S1782" s="11"/>
      <c r="T1782" s="11"/>
      <c r="U1782" s="10" t="str">
        <f>HYPERLINK("https://pbs.twimg.com/profile_images/767538490779238402/bT7iP0Gz.jpg","View")</f>
        <v>View</v>
      </c>
    </row>
    <row r="1783" spans="1:21" ht="51">
      <c r="A1783" s="6">
        <v>43441.126643518517</v>
      </c>
      <c r="B1783" s="7" t="str">
        <f>HYPERLINK("https://twitter.com/Daniel_castroga","@Daniel_castroga")</f>
        <v>@Daniel_castroga</v>
      </c>
      <c r="C1783" s="8" t="s">
        <v>3513</v>
      </c>
      <c r="D1783" s="9" t="s">
        <v>3514</v>
      </c>
      <c r="E1783" s="10" t="str">
        <f>HYPERLINK("https://twitter.com/Daniel_castroga/status/1070861043163951104","1070861043163951104")</f>
        <v>1070861043163951104</v>
      </c>
      <c r="F1783" s="11"/>
      <c r="G1783" s="12" t="s">
        <v>3515</v>
      </c>
      <c r="H1783" s="11"/>
      <c r="I1783" s="13">
        <v>0</v>
      </c>
      <c r="J1783" s="13">
        <v>1</v>
      </c>
      <c r="K1783" s="14" t="str">
        <f>HYPERLINK("http://twitter.com/download/android","Twitter for Android")</f>
        <v>Twitter for Android</v>
      </c>
      <c r="L1783" s="13">
        <v>263</v>
      </c>
      <c r="M1783" s="13">
        <v>1002</v>
      </c>
      <c r="N1783" s="13">
        <v>1</v>
      </c>
      <c r="O1783" s="15"/>
      <c r="P1783" s="6">
        <v>41906.221608796295</v>
      </c>
      <c r="Q1783" s="18" t="s">
        <v>3516</v>
      </c>
      <c r="R1783" s="19" t="s">
        <v>3517</v>
      </c>
      <c r="S1783" s="12" t="s">
        <v>3518</v>
      </c>
      <c r="T1783" s="11"/>
      <c r="U1783" s="10" t="str">
        <f>HYPERLINK("https://pbs.twimg.com/profile_images/1002298178497077248/-f22Ztfp.jpg","View")</f>
        <v>View</v>
      </c>
    </row>
    <row r="1784" spans="1:21" ht="40.799999999999997">
      <c r="A1784" s="6">
        <v>43441.124027777776</v>
      </c>
      <c r="B1784" s="7" t="str">
        <f>HYPERLINK("https://twitter.com/cronicasbrbaras","@cronicasbrbaras")</f>
        <v>@cronicasbrbaras</v>
      </c>
      <c r="C1784" s="8" t="s">
        <v>6651</v>
      </c>
      <c r="D1784" s="9" t="s">
        <v>6652</v>
      </c>
      <c r="E1784" s="10" t="str">
        <f>HYPERLINK("https://twitter.com/cronicasbrbaras/status/1070860094806679553","1070860094806679553")</f>
        <v>1070860094806679553</v>
      </c>
      <c r="F1784" s="18" t="s">
        <v>6653</v>
      </c>
      <c r="G1784" s="11"/>
      <c r="H1784" s="11"/>
      <c r="I1784" s="13">
        <v>0</v>
      </c>
      <c r="J1784" s="13">
        <v>1</v>
      </c>
      <c r="K1784" s="14" t="str">
        <f>HYPERLINK("http://twitter.com","Twitter Web Client")</f>
        <v>Twitter Web Client</v>
      </c>
      <c r="L1784" s="13">
        <v>960</v>
      </c>
      <c r="M1784" s="13">
        <v>422</v>
      </c>
      <c r="N1784" s="13">
        <v>46</v>
      </c>
      <c r="O1784" s="15"/>
      <c r="P1784" s="6">
        <v>40579.391712962963</v>
      </c>
      <c r="Q1784" s="18" t="s">
        <v>100</v>
      </c>
      <c r="R1784" s="19" t="s">
        <v>6654</v>
      </c>
      <c r="S1784" s="12" t="s">
        <v>6655</v>
      </c>
      <c r="T1784" s="11"/>
      <c r="U1784" s="10" t="str">
        <f>HYPERLINK("https://pbs.twimg.com/profile_images/1261731595/6a00d8341c603c53ef0120a51fb97e970b-150wi.jpg","View")</f>
        <v>View</v>
      </c>
    </row>
    <row r="1785" spans="1:21" ht="13.2">
      <c r="A1785" s="6">
        <v>43441.123356481483</v>
      </c>
      <c r="B1785" s="7" t="str">
        <f>HYPERLINK("https://twitter.com/wasthewasp","@wasthewasp")</f>
        <v>@wasthewasp</v>
      </c>
      <c r="C1785" s="8" t="s">
        <v>3521</v>
      </c>
      <c r="D1785" s="9" t="s">
        <v>3522</v>
      </c>
      <c r="E1785" s="10" t="str">
        <f>HYPERLINK("https://twitter.com/wasthewasp/status/1070859851910107137","1070859851910107137")</f>
        <v>1070859851910107137</v>
      </c>
      <c r="F1785" s="11"/>
      <c r="G1785" s="11"/>
      <c r="H1785" s="11"/>
      <c r="I1785" s="13">
        <v>0</v>
      </c>
      <c r="J1785" s="13">
        <v>0</v>
      </c>
      <c r="K1785" s="14" t="str">
        <f>HYPERLINK("http://twitter.com/download/android","Twitter for Android")</f>
        <v>Twitter for Android</v>
      </c>
      <c r="L1785" s="13">
        <v>246</v>
      </c>
      <c r="M1785" s="13">
        <v>335</v>
      </c>
      <c r="N1785" s="13">
        <v>14</v>
      </c>
      <c r="O1785" s="15"/>
      <c r="P1785" s="6">
        <v>42346.712256944447</v>
      </c>
      <c r="Q1785" s="18" t="s">
        <v>3523</v>
      </c>
      <c r="R1785" s="19" t="s">
        <v>3524</v>
      </c>
      <c r="S1785" s="11"/>
      <c r="T1785" s="11"/>
      <c r="U1785" s="10" t="str">
        <f>HYPERLINK("https://pbs.twimg.com/profile_images/1062645956292706304/UOb_BkiE.jpg","View")</f>
        <v>View</v>
      </c>
    </row>
    <row r="1786" spans="1:21" ht="20.399999999999999">
      <c r="A1786" s="6">
        <v>43441.122418981482</v>
      </c>
      <c r="B1786" s="7" t="str">
        <f>HYPERLINK("https://twitter.com/NoticiasVenezue","@NoticiasVenezue")</f>
        <v>@NoticiasVenezue</v>
      </c>
      <c r="C1786" s="8" t="s">
        <v>6656</v>
      </c>
      <c r="D1786" s="9" t="s">
        <v>6657</v>
      </c>
      <c r="E1786" s="10" t="str">
        <f>HYPERLINK("https://twitter.com/NoticiasVenezue/status/1070859510783332353","1070859510783332353")</f>
        <v>1070859510783332353</v>
      </c>
      <c r="F1786" s="12" t="s">
        <v>6658</v>
      </c>
      <c r="G1786" s="12" t="s">
        <v>6659</v>
      </c>
      <c r="H1786" s="11"/>
      <c r="I1786" s="13">
        <v>0</v>
      </c>
      <c r="J1786" s="13">
        <v>0</v>
      </c>
      <c r="K1786" s="14" t="str">
        <f>HYPERLINK("http://noticiasvenezuela.org/","Noticiasvenezuela.org")</f>
        <v>Noticiasvenezuela.org</v>
      </c>
      <c r="L1786" s="13">
        <v>849965</v>
      </c>
      <c r="M1786" s="13">
        <v>107845</v>
      </c>
      <c r="N1786" s="13">
        <v>4005</v>
      </c>
      <c r="O1786" s="16" t="s">
        <v>25</v>
      </c>
      <c r="P1786" s="6">
        <v>39960.368576388893</v>
      </c>
      <c r="Q1786" s="18" t="s">
        <v>204</v>
      </c>
      <c r="R1786" s="19" t="s">
        <v>6660</v>
      </c>
      <c r="S1786" s="12" t="s">
        <v>6661</v>
      </c>
      <c r="T1786" s="11"/>
      <c r="U1786" s="10" t="str">
        <f>HYPERLINK("https://pbs.twimg.com/profile_images/1051102549061849088/xDOWgbtI.jpg","View")</f>
        <v>View</v>
      </c>
    </row>
    <row r="1787" spans="1:21" ht="20.399999999999999">
      <c r="A1787" s="6">
        <v>43441.121307870373</v>
      </c>
      <c r="B1787" s="7" t="str">
        <f>HYPERLINK("https://twitter.com/dnlbs1","@dnlbs1")</f>
        <v>@dnlbs1</v>
      </c>
      <c r="C1787" s="8" t="s">
        <v>5275</v>
      </c>
      <c r="D1787" s="9" t="s">
        <v>2453</v>
      </c>
      <c r="E1787" s="10" t="str">
        <f>HYPERLINK("https://twitter.com/dnlbs1/status/1070859108423593984","1070859108423593984")</f>
        <v>1070859108423593984</v>
      </c>
      <c r="F1787" s="12" t="s">
        <v>2454</v>
      </c>
      <c r="G1787" s="11"/>
      <c r="H1787" s="11"/>
      <c r="I1787" s="13">
        <v>0</v>
      </c>
      <c r="J1787" s="13">
        <v>0</v>
      </c>
      <c r="K1787" s="14" t="str">
        <f>HYPERLINK("https://www.google.com/","Google")</f>
        <v>Google</v>
      </c>
      <c r="L1787" s="13">
        <v>74</v>
      </c>
      <c r="M1787" s="13">
        <v>44</v>
      </c>
      <c r="N1787" s="13">
        <v>4</v>
      </c>
      <c r="O1787" s="15"/>
      <c r="P1787" s="6">
        <v>40969.671527777777</v>
      </c>
      <c r="Q1787" s="11"/>
      <c r="R1787" s="19" t="s">
        <v>5276</v>
      </c>
      <c r="S1787" s="11"/>
      <c r="T1787" s="11"/>
      <c r="U1787" s="10" t="str">
        <f>HYPERLINK("https://pbs.twimg.com/profile_images/1872835283/imagesCAVZ2WPT.jpg","View")</f>
        <v>View</v>
      </c>
    </row>
    <row r="1788" spans="1:21" ht="20.399999999999999">
      <c r="A1788" s="6">
        <v>43441.115208333329</v>
      </c>
      <c r="B1788" s="7" t="str">
        <f>HYPERLINK("https://twitter.com/MQuintilla","@MQuintilla")</f>
        <v>@MQuintilla</v>
      </c>
      <c r="C1788" s="8" t="s">
        <v>6662</v>
      </c>
      <c r="D1788" s="9" t="s">
        <v>6663</v>
      </c>
      <c r="E1788" s="10" t="str">
        <f>HYPERLINK("https://twitter.com/MQuintilla/status/1070856897916559360","1070856897916559360")</f>
        <v>1070856897916559360</v>
      </c>
      <c r="F1788" s="12" t="s">
        <v>6664</v>
      </c>
      <c r="G1788" s="11"/>
      <c r="H1788" s="11"/>
      <c r="I1788" s="13">
        <v>0</v>
      </c>
      <c r="J1788" s="13">
        <v>0</v>
      </c>
      <c r="K1788" s="14" t="str">
        <f>HYPERLINK("http://twitter.com","Twitter Web Client")</f>
        <v>Twitter Web Client</v>
      </c>
      <c r="L1788" s="13">
        <v>261</v>
      </c>
      <c r="M1788" s="13">
        <v>2049</v>
      </c>
      <c r="N1788" s="13">
        <v>3</v>
      </c>
      <c r="O1788" s="15"/>
      <c r="P1788" s="6">
        <v>40842.046770833331</v>
      </c>
      <c r="Q1788" s="18" t="s">
        <v>1325</v>
      </c>
      <c r="R1788" s="17"/>
      <c r="S1788" s="12" t="s">
        <v>6665</v>
      </c>
      <c r="T1788" s="11"/>
      <c r="U1788" s="10" t="str">
        <f>HYPERLINK("https://pbs.twimg.com/profile_images/1606838195/fotos_gabriel_aluro_613.jpg","View")</f>
        <v>View</v>
      </c>
    </row>
    <row r="1789" spans="1:21" ht="20.399999999999999">
      <c r="A1789" s="6">
        <v>43441.112384259264</v>
      </c>
      <c r="B1789" s="7" t="str">
        <f>HYPERLINK("https://twitter.com/mluz82","@mluz82")</f>
        <v>@mluz82</v>
      </c>
      <c r="C1789" s="8" t="s">
        <v>6666</v>
      </c>
      <c r="D1789" s="9" t="s">
        <v>6667</v>
      </c>
      <c r="E1789" s="10" t="str">
        <f>HYPERLINK("https://twitter.com/mluz82/status/1070855873898209281","1070855873898209281")</f>
        <v>1070855873898209281</v>
      </c>
      <c r="F1789" s="12" t="s">
        <v>2161</v>
      </c>
      <c r="G1789" s="11"/>
      <c r="H1789" s="11"/>
      <c r="I1789" s="13">
        <v>0</v>
      </c>
      <c r="J1789" s="13">
        <v>0</v>
      </c>
      <c r="K1789" s="14" t="str">
        <f>HYPERLINK("http://twitter.com/download/android","Twitter for Android")</f>
        <v>Twitter for Android</v>
      </c>
      <c r="L1789" s="13">
        <v>68</v>
      </c>
      <c r="M1789" s="13">
        <v>426</v>
      </c>
      <c r="N1789" s="13">
        <v>0</v>
      </c>
      <c r="O1789" s="15"/>
      <c r="P1789" s="6">
        <v>40394.910150462965</v>
      </c>
      <c r="Q1789" s="18" t="s">
        <v>2020</v>
      </c>
      <c r="R1789" s="19" t="s">
        <v>6668</v>
      </c>
      <c r="S1789" s="11"/>
      <c r="T1789" s="11"/>
      <c r="U1789" s="10" t="str">
        <f>HYPERLINK("https://pbs.twimg.com/profile_images/1056722269362360320/EnHkSXxW.jpg","View")</f>
        <v>View</v>
      </c>
    </row>
    <row r="1790" spans="1:21" ht="91.8">
      <c r="A1790" s="6">
        <v>43441.108865740738</v>
      </c>
      <c r="B1790" s="7" t="str">
        <f>HYPERLINK("https://twitter.com/GitanoChubi","@GitanoChubi")</f>
        <v>@GitanoChubi</v>
      </c>
      <c r="C1790" s="8" t="s">
        <v>6669</v>
      </c>
      <c r="D1790" s="9" t="s">
        <v>6670</v>
      </c>
      <c r="E1790" s="10" t="str">
        <f>HYPERLINK("https://twitter.com/GitanoChubi/status/1070854598200619008","1070854598200619008")</f>
        <v>1070854598200619008</v>
      </c>
      <c r="F1790" s="18" t="s">
        <v>6671</v>
      </c>
      <c r="G1790" s="11"/>
      <c r="H1790" s="11"/>
      <c r="I1790" s="13">
        <v>0</v>
      </c>
      <c r="J1790" s="13">
        <v>0</v>
      </c>
      <c r="K1790" s="14" t="str">
        <f>HYPERLINK("http://twitter.com","Twitter Web Client")</f>
        <v>Twitter Web Client</v>
      </c>
      <c r="L1790" s="13">
        <v>77</v>
      </c>
      <c r="M1790" s="13">
        <v>131</v>
      </c>
      <c r="N1790" s="13">
        <v>0</v>
      </c>
      <c r="O1790" s="15"/>
      <c r="P1790" s="6">
        <v>43228.767233796301</v>
      </c>
      <c r="Q1790" s="18" t="s">
        <v>6672</v>
      </c>
      <c r="R1790" s="19" t="s">
        <v>6673</v>
      </c>
      <c r="S1790" s="12" t="s">
        <v>6674</v>
      </c>
      <c r="T1790" s="11"/>
      <c r="U1790" s="10" t="str">
        <f>HYPERLINK("https://pbs.twimg.com/profile_images/994224370867494913/1gtXcp-J.jpg","View")</f>
        <v>View</v>
      </c>
    </row>
    <row r="1791" spans="1:21" ht="40.799999999999997">
      <c r="A1791" s="6">
        <v>43441.103182870371</v>
      </c>
      <c r="B1791" s="7" t="str">
        <f>HYPERLINK("https://twitter.com/MarcLesan","@MarcLesan")</f>
        <v>@MarcLesan</v>
      </c>
      <c r="C1791" s="8" t="s">
        <v>6675</v>
      </c>
      <c r="D1791" s="9" t="s">
        <v>6676</v>
      </c>
      <c r="E1791" s="10" t="str">
        <f>HYPERLINK("https://twitter.com/MarcLesan/status/1070852538004631552","1070852538004631552")</f>
        <v>1070852538004631552</v>
      </c>
      <c r="F1791" s="11"/>
      <c r="G1791" s="12" t="s">
        <v>6677</v>
      </c>
      <c r="H1791" s="11"/>
      <c r="I1791" s="13">
        <v>2</v>
      </c>
      <c r="J1791" s="13">
        <v>14</v>
      </c>
      <c r="K1791" s="14" t="str">
        <f>HYPERLINK("http://twitter.com/download/android","Twitter for Android")</f>
        <v>Twitter for Android</v>
      </c>
      <c r="L1791" s="13">
        <v>1291</v>
      </c>
      <c r="M1791" s="13">
        <v>768</v>
      </c>
      <c r="N1791" s="13">
        <v>45</v>
      </c>
      <c r="O1791" s="15"/>
      <c r="P1791" s="6">
        <v>42043.074444444443</v>
      </c>
      <c r="Q1791" s="18" t="s">
        <v>6678</v>
      </c>
      <c r="R1791" s="19" t="s">
        <v>6679</v>
      </c>
      <c r="S1791" s="12" t="s">
        <v>6680</v>
      </c>
      <c r="T1791" s="11"/>
      <c r="U1791" s="10" t="str">
        <f>HYPERLINK("https://pbs.twimg.com/profile_images/1066343200393232391/J3dZR8mN.jpg","View")</f>
        <v>View</v>
      </c>
    </row>
    <row r="1792" spans="1:21" ht="20.399999999999999">
      <c r="A1792" s="6">
        <v>43441.103171296301</v>
      </c>
      <c r="B1792" s="7" t="str">
        <f>HYPERLINK("https://twitter.com/PBMarbeMalaga","@PBMarbeMalaga")</f>
        <v>@PBMarbeMalaga</v>
      </c>
      <c r="C1792" s="8" t="s">
        <v>1635</v>
      </c>
      <c r="D1792" s="9" t="s">
        <v>6681</v>
      </c>
      <c r="E1792" s="10" t="str">
        <f>HYPERLINK("https://twitter.com/PBMarbeMalaga/status/1070852535177613312","1070852535177613312")</f>
        <v>1070852535177613312</v>
      </c>
      <c r="F1792" s="12" t="s">
        <v>3685</v>
      </c>
      <c r="G1792" s="11"/>
      <c r="H1792" s="11"/>
      <c r="I1792" s="13">
        <v>0</v>
      </c>
      <c r="J1792" s="13">
        <v>0</v>
      </c>
      <c r="K1792" s="14" t="str">
        <f>HYPERLINK("https://javitang.ddns.net","PBMarbeMalaga")</f>
        <v>PBMarbeMalaga</v>
      </c>
      <c r="L1792" s="13">
        <v>1316</v>
      </c>
      <c r="M1792" s="13">
        <v>1358</v>
      </c>
      <c r="N1792" s="13">
        <v>2</v>
      </c>
      <c r="O1792" s="15"/>
      <c r="P1792" s="6">
        <v>43149.814074074078</v>
      </c>
      <c r="Q1792" s="18" t="s">
        <v>1637</v>
      </c>
      <c r="R1792" s="19" t="s">
        <v>1638</v>
      </c>
      <c r="S1792" s="11"/>
      <c r="T1792" s="11"/>
      <c r="U1792" s="10" t="str">
        <f>HYPERLINK("https://pbs.twimg.com/profile_images/965296691145531392/sAFnfUu2.jpg","View")</f>
        <v>View</v>
      </c>
    </row>
    <row r="1793" spans="1:21" ht="40.799999999999997">
      <c r="A1793" s="6">
        <v>43441.10229166667</v>
      </c>
      <c r="B1793" s="7" t="str">
        <f>HYPERLINK("https://twitter.com/manstein1966","@manstein1966")</f>
        <v>@manstein1966</v>
      </c>
      <c r="C1793" s="8" t="s">
        <v>3526</v>
      </c>
      <c r="D1793" s="9" t="s">
        <v>3527</v>
      </c>
      <c r="E1793" s="10" t="str">
        <f>HYPERLINK("https://twitter.com/manstein1966/status/1070852215735246856","1070852215735246856")</f>
        <v>1070852215735246856</v>
      </c>
      <c r="F1793" s="12" t="s">
        <v>3528</v>
      </c>
      <c r="G1793" s="12" t="s">
        <v>679</v>
      </c>
      <c r="H1793" s="11"/>
      <c r="I1793" s="13">
        <v>1</v>
      </c>
      <c r="J1793" s="13">
        <v>1</v>
      </c>
      <c r="K1793" s="14" t="str">
        <f>HYPERLINK("http://twitter.com/#!/download/ipad","Twitter for iPad")</f>
        <v>Twitter for iPad</v>
      </c>
      <c r="L1793" s="13">
        <v>88</v>
      </c>
      <c r="M1793" s="13">
        <v>140</v>
      </c>
      <c r="N1793" s="13">
        <v>9</v>
      </c>
      <c r="O1793" s="15"/>
      <c r="P1793" s="6">
        <v>41799.953090277777</v>
      </c>
      <c r="Q1793" s="18" t="s">
        <v>973</v>
      </c>
      <c r="R1793" s="19" t="s">
        <v>3529</v>
      </c>
      <c r="S1793" s="11"/>
      <c r="T1793" s="11"/>
      <c r="U1793" s="10" t="str">
        <f>HYPERLINK("https://pbs.twimg.com/profile_images/772111827387965440/7igdjAFl.jpg","View")</f>
        <v>View</v>
      </c>
    </row>
    <row r="1794" spans="1:21" ht="61.2">
      <c r="A1794" s="6">
        <v>43441.101678240739</v>
      </c>
      <c r="B1794" s="7" t="str">
        <f>HYPERLINK("https://twitter.com/Abel_Franc","@Abel_Franc")</f>
        <v>@Abel_Franc</v>
      </c>
      <c r="C1794" s="8" t="s">
        <v>3531</v>
      </c>
      <c r="D1794" s="9" t="s">
        <v>3532</v>
      </c>
      <c r="E1794" s="10" t="str">
        <f>HYPERLINK("https://twitter.com/Abel_Franc/status/1070851994338951170","1070851994338951170")</f>
        <v>1070851994338951170</v>
      </c>
      <c r="F1794" s="11"/>
      <c r="G1794" s="11"/>
      <c r="H1794" s="11"/>
      <c r="I1794" s="13">
        <v>0</v>
      </c>
      <c r="J1794" s="13">
        <v>0</v>
      </c>
      <c r="K1794" s="14" t="str">
        <f t="shared" ref="K1794:K1795" si="306">HYPERLINK("http://twitter.com/download/android","Twitter for Android")</f>
        <v>Twitter for Android</v>
      </c>
      <c r="L1794" s="13">
        <v>1552</v>
      </c>
      <c r="M1794" s="13">
        <v>2171</v>
      </c>
      <c r="N1794" s="13">
        <v>25</v>
      </c>
      <c r="O1794" s="15"/>
      <c r="P1794" s="6">
        <v>40669.533275462964</v>
      </c>
      <c r="Q1794" s="18" t="s">
        <v>3533</v>
      </c>
      <c r="R1794" s="19" t="s">
        <v>3534</v>
      </c>
      <c r="S1794" s="12" t="s">
        <v>3535</v>
      </c>
      <c r="T1794" s="11"/>
      <c r="U1794" s="10" t="str">
        <f>HYPERLINK("https://pbs.twimg.com/profile_images/1024355260800946179/0-gf4ZgV.jpg","View")</f>
        <v>View</v>
      </c>
    </row>
    <row r="1795" spans="1:21" ht="30.6">
      <c r="A1795" s="6">
        <v>43441.100520833337</v>
      </c>
      <c r="B1795" s="7" t="str">
        <f>HYPERLINK("https://twitter.com/pallaron12","@pallaron12")</f>
        <v>@pallaron12</v>
      </c>
      <c r="C1795" s="8" t="s">
        <v>2159</v>
      </c>
      <c r="D1795" s="9" t="s">
        <v>1833</v>
      </c>
      <c r="E1795" s="10" t="str">
        <f>HYPERLINK("https://twitter.com/pallaron12/status/1070851575743168512","1070851575743168512")</f>
        <v>1070851575743168512</v>
      </c>
      <c r="F1795" s="12" t="s">
        <v>6682</v>
      </c>
      <c r="G1795" s="11"/>
      <c r="H1795" s="11"/>
      <c r="I1795" s="13">
        <v>0</v>
      </c>
      <c r="J1795" s="13">
        <v>0</v>
      </c>
      <c r="K1795" s="14" t="str">
        <f t="shared" si="306"/>
        <v>Twitter for Android</v>
      </c>
      <c r="L1795" s="13">
        <v>1481</v>
      </c>
      <c r="M1795" s="13">
        <v>551</v>
      </c>
      <c r="N1795" s="13">
        <v>8</v>
      </c>
      <c r="O1795" s="15"/>
      <c r="P1795" s="6">
        <v>41854.66134259259</v>
      </c>
      <c r="Q1795" s="18" t="s">
        <v>2162</v>
      </c>
      <c r="R1795" s="19" t="s">
        <v>2163</v>
      </c>
      <c r="S1795" s="11"/>
      <c r="T1795" s="11"/>
      <c r="U1795" s="10" t="str">
        <f>HYPERLINK("https://pbs.twimg.com/profile_images/1064713832633896961/NkwZ7D9D.jpg","View")</f>
        <v>View</v>
      </c>
    </row>
    <row r="1796" spans="1:21" ht="20.399999999999999">
      <c r="A1796" s="6">
        <v>43441.098460648151</v>
      </c>
      <c r="B1796" s="7" t="str">
        <f>HYPERLINK("https://twitter.com/ChemaCuenca","@ChemaCuenca")</f>
        <v>@ChemaCuenca</v>
      </c>
      <c r="C1796" s="8" t="s">
        <v>6683</v>
      </c>
      <c r="D1796" s="9" t="s">
        <v>3591</v>
      </c>
      <c r="E1796" s="10" t="str">
        <f>HYPERLINK("https://twitter.com/ChemaCuenca/status/1070850827806539776","1070850827806539776")</f>
        <v>1070850827806539776</v>
      </c>
      <c r="F1796" s="12" t="s">
        <v>6684</v>
      </c>
      <c r="G1796" s="11"/>
      <c r="H1796" s="11"/>
      <c r="I1796" s="13">
        <v>1</v>
      </c>
      <c r="J1796" s="13">
        <v>1</v>
      </c>
      <c r="K1796" s="14" t="str">
        <f t="shared" ref="K1796:K1797" si="307">HYPERLINK("http://twitter.com/#!/download/ipad","Twitter for iPad")</f>
        <v>Twitter for iPad</v>
      </c>
      <c r="L1796" s="13">
        <v>759</v>
      </c>
      <c r="M1796" s="13">
        <v>1337</v>
      </c>
      <c r="N1796" s="13">
        <v>3</v>
      </c>
      <c r="O1796" s="15"/>
      <c r="P1796" s="6">
        <v>40681.980937500004</v>
      </c>
      <c r="Q1796" s="18" t="s">
        <v>973</v>
      </c>
      <c r="R1796" s="19" t="s">
        <v>6685</v>
      </c>
      <c r="S1796" s="11"/>
      <c r="T1796" s="11"/>
      <c r="U1796" s="10" t="str">
        <f>HYPERLINK("https://pbs.twimg.com/profile_images/812712574135451648/gJWpSgMX.jpg","View")</f>
        <v>View</v>
      </c>
    </row>
    <row r="1797" spans="1:21" ht="71.400000000000006">
      <c r="A1797" s="6">
        <v>43441.095775462964</v>
      </c>
      <c r="B1797" s="7" t="str">
        <f>HYPERLINK("https://twitter.com/manstein1966","@manstein1966")</f>
        <v>@manstein1966</v>
      </c>
      <c r="C1797" s="8" t="s">
        <v>3526</v>
      </c>
      <c r="D1797" s="9" t="s">
        <v>3537</v>
      </c>
      <c r="E1797" s="10" t="str">
        <f>HYPERLINK("https://twitter.com/manstein1966/status/1070849855973703680","1070849855973703680")</f>
        <v>1070849855973703680</v>
      </c>
      <c r="F1797" s="18" t="s">
        <v>3539</v>
      </c>
      <c r="G1797" s="11"/>
      <c r="H1797" s="11"/>
      <c r="I1797" s="13">
        <v>1</v>
      </c>
      <c r="J1797" s="13">
        <v>2</v>
      </c>
      <c r="K1797" s="14" t="str">
        <f t="shared" si="307"/>
        <v>Twitter for iPad</v>
      </c>
      <c r="L1797" s="13">
        <v>88</v>
      </c>
      <c r="M1797" s="13">
        <v>140</v>
      </c>
      <c r="N1797" s="13">
        <v>9</v>
      </c>
      <c r="O1797" s="15"/>
      <c r="P1797" s="6">
        <v>41799.953090277777</v>
      </c>
      <c r="Q1797" s="18" t="s">
        <v>973</v>
      </c>
      <c r="R1797" s="19" t="s">
        <v>3529</v>
      </c>
      <c r="S1797" s="11"/>
      <c r="T1797" s="11"/>
      <c r="U1797" s="10" t="str">
        <f>HYPERLINK("https://pbs.twimg.com/profile_images/772111827387965440/7igdjAFl.jpg","View")</f>
        <v>View</v>
      </c>
    </row>
    <row r="1798" spans="1:21" ht="30.6">
      <c r="A1798" s="6">
        <v>43441.092662037037</v>
      </c>
      <c r="B1798" s="7" t="str">
        <f>HYPERLINK("https://twitter.com/omniaveritas_","@omniaveritas_")</f>
        <v>@omniaveritas_</v>
      </c>
      <c r="C1798" s="8" t="s">
        <v>5685</v>
      </c>
      <c r="D1798" s="9" t="s">
        <v>6686</v>
      </c>
      <c r="E1798" s="10" t="str">
        <f>HYPERLINK("https://twitter.com/omniaveritas_/status/1070848726216990720","1070848726216990720")</f>
        <v>1070848726216990720</v>
      </c>
      <c r="F1798" s="11"/>
      <c r="G1798" s="11"/>
      <c r="H1798" s="11"/>
      <c r="I1798" s="13">
        <v>4</v>
      </c>
      <c r="J1798" s="13">
        <v>9</v>
      </c>
      <c r="K1798" s="14" t="str">
        <f>HYPERLINK("http://twitter.com/download/iphone","Twitter for iPhone")</f>
        <v>Twitter for iPhone</v>
      </c>
      <c r="L1798" s="13">
        <v>1694</v>
      </c>
      <c r="M1798" s="13">
        <v>1590</v>
      </c>
      <c r="N1798" s="13">
        <v>15</v>
      </c>
      <c r="O1798" s="15"/>
      <c r="P1798" s="6">
        <v>42289.668807870374</v>
      </c>
      <c r="Q1798" s="18" t="s">
        <v>5687</v>
      </c>
      <c r="R1798" s="19" t="s">
        <v>5688</v>
      </c>
      <c r="S1798" s="11"/>
      <c r="T1798" s="11"/>
      <c r="U1798" s="10" t="str">
        <f>HYPERLINK("https://pbs.twimg.com/profile_images/1068289529377972224/l5Gy3_Yj.jpg","View")</f>
        <v>View</v>
      </c>
    </row>
    <row r="1799" spans="1:21" ht="30.6">
      <c r="A1799" s="6">
        <v>43441.092662037037</v>
      </c>
      <c r="B1799" s="7" t="str">
        <f>HYPERLINK("https://twitter.com/crequesens","@crequesens")</f>
        <v>@crequesens</v>
      </c>
      <c r="C1799" s="8" t="s">
        <v>6687</v>
      </c>
      <c r="D1799" s="9" t="s">
        <v>6688</v>
      </c>
      <c r="E1799" s="10" t="str">
        <f>HYPERLINK("https://twitter.com/crequesens/status/1070848726195945472","1070848726195945472")</f>
        <v>1070848726195945472</v>
      </c>
      <c r="F1799" s="12" t="s">
        <v>6689</v>
      </c>
      <c r="G1799" s="11"/>
      <c r="H1799" s="11"/>
      <c r="I1799" s="13">
        <v>0</v>
      </c>
      <c r="J1799" s="13">
        <v>0</v>
      </c>
      <c r="K1799" s="14" t="str">
        <f>HYPERLINK("http://www.facebook.com/twitter","Facebook")</f>
        <v>Facebook</v>
      </c>
      <c r="L1799" s="13">
        <v>1076</v>
      </c>
      <c r="M1799" s="13">
        <v>1794</v>
      </c>
      <c r="N1799" s="13">
        <v>46</v>
      </c>
      <c r="O1799" s="15"/>
      <c r="P1799" s="6">
        <v>40147.995567129634</v>
      </c>
      <c r="Q1799" s="18" t="s">
        <v>990</v>
      </c>
      <c r="R1799" s="19" t="s">
        <v>6690</v>
      </c>
      <c r="S1799" s="12" t="s">
        <v>6691</v>
      </c>
      <c r="T1799" s="11"/>
      <c r="U1799" s="10" t="str">
        <f>HYPERLINK("https://pbs.twimg.com/profile_images/607275381645832194/A2KVirSO.jpg","View")</f>
        <v>View</v>
      </c>
    </row>
    <row r="1800" spans="1:21" ht="51">
      <c r="A1800" s="6">
        <v>43441.087638888886</v>
      </c>
      <c r="B1800" s="7" t="str">
        <f>HYPERLINK("https://twitter.com/RafadelaGuerra","@RafadelaGuerra")</f>
        <v>@RafadelaGuerra</v>
      </c>
      <c r="C1800" s="8" t="s">
        <v>6692</v>
      </c>
      <c r="D1800" s="9" t="s">
        <v>6693</v>
      </c>
      <c r="E1800" s="10" t="str">
        <f>HYPERLINK("https://twitter.com/RafadelaGuerra/status/1070846904907546624","1070846904907546624")</f>
        <v>1070846904907546624</v>
      </c>
      <c r="F1800" s="11"/>
      <c r="G1800" s="11"/>
      <c r="H1800" s="11"/>
      <c r="I1800" s="13">
        <v>0</v>
      </c>
      <c r="J1800" s="13">
        <v>1</v>
      </c>
      <c r="K1800" s="14" t="str">
        <f>HYPERLINK("http://twitter.com/download/iphone","Twitter for iPhone")</f>
        <v>Twitter for iPhone</v>
      </c>
      <c r="L1800" s="13">
        <v>1766</v>
      </c>
      <c r="M1800" s="13">
        <v>1477</v>
      </c>
      <c r="N1800" s="13">
        <v>19</v>
      </c>
      <c r="O1800" s="15"/>
      <c r="P1800" s="6">
        <v>42763.082719907412</v>
      </c>
      <c r="Q1800" s="18" t="s">
        <v>173</v>
      </c>
      <c r="R1800" s="19" t="s">
        <v>6694</v>
      </c>
      <c r="S1800" s="11"/>
      <c r="T1800" s="11"/>
      <c r="U1800" s="10" t="str">
        <f>HYPERLINK("https://pbs.twimg.com/profile_images/1035252460372283393/FnaRwPPZ.jpg","View")</f>
        <v>View</v>
      </c>
    </row>
    <row r="1801" spans="1:21" ht="20.399999999999999">
      <c r="A1801" s="6">
        <v>43441.085601851853</v>
      </c>
      <c r="B1801" s="7" t="str">
        <f>HYPERLINK("https://twitter.com/sumariumcom","@sumariumcom")</f>
        <v>@sumariumcom</v>
      </c>
      <c r="C1801" s="8" t="s">
        <v>4153</v>
      </c>
      <c r="D1801" s="9" t="s">
        <v>6696</v>
      </c>
      <c r="E1801" s="10" t="str">
        <f>HYPERLINK("https://twitter.com/sumariumcom/status/1070846168131923969","1070846168131923969")</f>
        <v>1070846168131923969</v>
      </c>
      <c r="F1801" s="12" t="s">
        <v>6697</v>
      </c>
      <c r="G1801" s="12" t="s">
        <v>6698</v>
      </c>
      <c r="H1801" s="11"/>
      <c r="I1801" s="13">
        <v>1</v>
      </c>
      <c r="J1801" s="13">
        <v>1</v>
      </c>
      <c r="K1801" s="14" t="str">
        <f>HYPERLINK("https://about.twitter.com/products/tweetdeck","TweetDeck")</f>
        <v>TweetDeck</v>
      </c>
      <c r="L1801" s="13">
        <v>164401</v>
      </c>
      <c r="M1801" s="13">
        <v>996</v>
      </c>
      <c r="N1801" s="13">
        <v>1122</v>
      </c>
      <c r="O1801" s="15"/>
      <c r="P1801" s="6">
        <v>40977.809594907405</v>
      </c>
      <c r="Q1801" s="18" t="s">
        <v>4159</v>
      </c>
      <c r="R1801" s="17"/>
      <c r="S1801" s="12" t="s">
        <v>4160</v>
      </c>
      <c r="T1801" s="11"/>
      <c r="U1801" s="10" t="str">
        <f>HYPERLINK("https://pbs.twimg.com/profile_images/1061987847874469888/mok5IDTt.jpg","View")</f>
        <v>View</v>
      </c>
    </row>
    <row r="1802" spans="1:21" ht="40.799999999999997">
      <c r="A1802" s="6">
        <v>43441.084699074076</v>
      </c>
      <c r="B1802" s="7" t="str">
        <f>HYPERLINK("https://twitter.com/DarthVaderATM","@DarthVaderATM")</f>
        <v>@DarthVaderATM</v>
      </c>
      <c r="C1802" s="8" t="s">
        <v>3544</v>
      </c>
      <c r="D1802" s="9" t="s">
        <v>3545</v>
      </c>
      <c r="E1802" s="10" t="str">
        <f>HYPERLINK("https://twitter.com/DarthVaderATM/status/1070845841055907840","1070845841055907840")</f>
        <v>1070845841055907840</v>
      </c>
      <c r="F1802" s="11"/>
      <c r="G1802" s="12" t="s">
        <v>3546</v>
      </c>
      <c r="H1802" s="11"/>
      <c r="I1802" s="13">
        <v>7</v>
      </c>
      <c r="J1802" s="13">
        <v>35</v>
      </c>
      <c r="K1802" s="14" t="str">
        <f>HYPERLINK("http://twitter.com/download/android","Twitter for Android")</f>
        <v>Twitter for Android</v>
      </c>
      <c r="L1802" s="13">
        <v>7854</v>
      </c>
      <c r="M1802" s="13">
        <v>7696</v>
      </c>
      <c r="N1802" s="13">
        <v>13</v>
      </c>
      <c r="O1802" s="15"/>
      <c r="P1802" s="6">
        <v>42062.879525462966</v>
      </c>
      <c r="Q1802" s="11"/>
      <c r="R1802" s="19" t="s">
        <v>3547</v>
      </c>
      <c r="S1802" s="11"/>
      <c r="T1802" s="11"/>
      <c r="U1802" s="10" t="str">
        <f>HYPERLINK("https://pbs.twimg.com/profile_images/1068117681633722369/EboVMuz2.jpg","View")</f>
        <v>View</v>
      </c>
    </row>
    <row r="1803" spans="1:21" ht="20.399999999999999">
      <c r="A1803" s="6">
        <v>43441.084444444445</v>
      </c>
      <c r="B1803" s="7" t="str">
        <f>HYPERLINK("https://twitter.com/yh5ijortkvlfbri","@yh5ijortkvlfbri")</f>
        <v>@yh5ijortkvlfbri</v>
      </c>
      <c r="C1803" s="8" t="s">
        <v>3548</v>
      </c>
      <c r="D1803" s="9" t="s">
        <v>3549</v>
      </c>
      <c r="E1803" s="10" t="str">
        <f>HYPERLINK("https://twitter.com/yh5ijortkvlfbri/status/1070845747225079809","1070845747225079809")</f>
        <v>1070845747225079809</v>
      </c>
      <c r="F1803" s="11"/>
      <c r="G1803" s="11"/>
      <c r="H1803" s="11"/>
      <c r="I1803" s="13">
        <v>0</v>
      </c>
      <c r="J1803" s="13">
        <v>1</v>
      </c>
      <c r="K1803" s="14" t="str">
        <f>HYPERLINK("http://twitter.com/download/iphone","Twitter for iPhone")</f>
        <v>Twitter for iPhone</v>
      </c>
      <c r="L1803" s="13">
        <v>60</v>
      </c>
      <c r="M1803" s="13">
        <v>128</v>
      </c>
      <c r="N1803" s="13">
        <v>0</v>
      </c>
      <c r="O1803" s="15"/>
      <c r="P1803" s="6">
        <v>42934.135312500002</v>
      </c>
      <c r="Q1803" s="18" t="s">
        <v>2394</v>
      </c>
      <c r="R1803" s="19" t="s">
        <v>3550</v>
      </c>
      <c r="S1803" s="11"/>
      <c r="T1803" s="11"/>
      <c r="U1803" s="10" t="str">
        <f>HYPERLINK("https://pbs.twimg.com/profile_images/1019176965734060033/7ATb3Db3.jpg","View")</f>
        <v>View</v>
      </c>
    </row>
    <row r="1804" spans="1:21" ht="51">
      <c r="A1804" s="6">
        <v>43441.083333333328</v>
      </c>
      <c r="B1804" s="7" t="str">
        <f>HYPERLINK("https://twitter.com/europapress","@europapress")</f>
        <v>@europapress</v>
      </c>
      <c r="C1804" s="8" t="s">
        <v>6700</v>
      </c>
      <c r="D1804" s="9" t="s">
        <v>6701</v>
      </c>
      <c r="E1804" s="10" t="str">
        <f>HYPERLINK("https://twitter.com/europapress/status/1070845346920620034","1070845346920620034")</f>
        <v>1070845346920620034</v>
      </c>
      <c r="F1804" s="12" t="s">
        <v>6702</v>
      </c>
      <c r="G1804" s="12" t="s">
        <v>5585</v>
      </c>
      <c r="H1804" s="11"/>
      <c r="I1804" s="13">
        <v>7</v>
      </c>
      <c r="J1804" s="13">
        <v>9</v>
      </c>
      <c r="K1804" s="14" t="str">
        <f>HYPERLINK("https://studio.twitter.com","Twitter Media Studio")</f>
        <v>Twitter Media Studio</v>
      </c>
      <c r="L1804" s="13">
        <v>1100734</v>
      </c>
      <c r="M1804" s="13">
        <v>1101</v>
      </c>
      <c r="N1804" s="13">
        <v>13750</v>
      </c>
      <c r="O1804" s="16" t="s">
        <v>25</v>
      </c>
      <c r="P1804" s="6">
        <v>40246.461956018517</v>
      </c>
      <c r="Q1804" s="11"/>
      <c r="R1804" s="19" t="s">
        <v>6703</v>
      </c>
      <c r="S1804" s="12" t="s">
        <v>6312</v>
      </c>
      <c r="T1804" s="11"/>
      <c r="U1804" s="10" t="str">
        <f>HYPERLINK("https://pbs.twimg.com/profile_images/876740155473788928/4V7ewUTC.jpg","View")</f>
        <v>View</v>
      </c>
    </row>
    <row r="1805" spans="1:21" ht="40.799999999999997">
      <c r="A1805" s="6">
        <v>43441.082800925928</v>
      </c>
      <c r="B1805" s="7" t="str">
        <f>HYPERLINK("https://twitter.com/alonsogranada","@alonsogranada")</f>
        <v>@alonsogranada</v>
      </c>
      <c r="C1805" s="8" t="s">
        <v>3551</v>
      </c>
      <c r="D1805" s="9" t="s">
        <v>3552</v>
      </c>
      <c r="E1805" s="10" t="str">
        <f>HYPERLINK("https://twitter.com/alonsogranada/status/1070845152086949888","1070845152086949888")</f>
        <v>1070845152086949888</v>
      </c>
      <c r="F1805" s="12" t="s">
        <v>3555</v>
      </c>
      <c r="G1805" s="12" t="s">
        <v>3556</v>
      </c>
      <c r="H1805" s="11"/>
      <c r="I1805" s="13">
        <v>0</v>
      </c>
      <c r="J1805" s="13">
        <v>0</v>
      </c>
      <c r="K1805" s="14" t="str">
        <f>HYPERLINK("http://twitter.com/#!/download/ipad","Twitter for iPad")</f>
        <v>Twitter for iPad</v>
      </c>
      <c r="L1805" s="13">
        <v>9647</v>
      </c>
      <c r="M1805" s="13">
        <v>7548</v>
      </c>
      <c r="N1805" s="13">
        <v>47</v>
      </c>
      <c r="O1805" s="15"/>
      <c r="P1805" s="6">
        <v>40326.541030092594</v>
      </c>
      <c r="Q1805" s="18" t="s">
        <v>3559</v>
      </c>
      <c r="R1805" s="19" t="s">
        <v>3560</v>
      </c>
      <c r="S1805" s="12" t="s">
        <v>3561</v>
      </c>
      <c r="T1805" s="11"/>
      <c r="U1805" s="10" t="str">
        <f>HYPERLINK("https://pbs.twimg.com/profile_images/974992178970808327/JWS4uaXg.jpg","View")</f>
        <v>View</v>
      </c>
    </row>
    <row r="1806" spans="1:21" ht="91.8">
      <c r="A1806" s="6">
        <v>43441.077418981484</v>
      </c>
      <c r="B1806" s="7" t="str">
        <f>HYPERLINK("https://twitter.com/ignaciosolen","@ignaciosolen")</f>
        <v>@ignaciosolen</v>
      </c>
      <c r="C1806" s="8" t="s">
        <v>3562</v>
      </c>
      <c r="D1806" s="9" t="s">
        <v>3563</v>
      </c>
      <c r="E1806" s="10" t="str">
        <f>HYPERLINK("https://twitter.com/ignaciosolen/status/1070843203039977472","1070843203039977472")</f>
        <v>1070843203039977472</v>
      </c>
      <c r="F1806" s="12" t="s">
        <v>1883</v>
      </c>
      <c r="G1806" s="11"/>
      <c r="H1806" s="11"/>
      <c r="I1806" s="13">
        <v>0</v>
      </c>
      <c r="J1806" s="13">
        <v>1</v>
      </c>
      <c r="K1806" s="14" t="str">
        <f>HYPERLINK("http://twitter.com/download/iphone","Twitter for iPhone")</f>
        <v>Twitter for iPhone</v>
      </c>
      <c r="L1806" s="13">
        <v>793</v>
      </c>
      <c r="M1806" s="13">
        <v>866</v>
      </c>
      <c r="N1806" s="13">
        <v>0</v>
      </c>
      <c r="O1806" s="15"/>
      <c r="P1806" s="6">
        <v>42935.463275462964</v>
      </c>
      <c r="Q1806" s="18" t="s">
        <v>3564</v>
      </c>
      <c r="R1806" s="19" t="s">
        <v>3565</v>
      </c>
      <c r="S1806" s="11"/>
      <c r="T1806" s="11"/>
      <c r="U1806" s="10" t="str">
        <f>HYPERLINK("https://pbs.twimg.com/profile_images/1058647388783628288/ejvoUuLp.jpg","View")</f>
        <v>View</v>
      </c>
    </row>
    <row r="1807" spans="1:21" ht="40.799999999999997">
      <c r="A1807" s="6">
        <v>43441.077002314814</v>
      </c>
      <c r="B1807" s="7" t="str">
        <f>HYPERLINK("https://twitter.com/fgallardo","@fgallardo")</f>
        <v>@fgallardo</v>
      </c>
      <c r="C1807" s="8" t="s">
        <v>6704</v>
      </c>
      <c r="D1807" s="9" t="s">
        <v>6705</v>
      </c>
      <c r="E1807" s="10" t="str">
        <f>HYPERLINK("https://twitter.com/fgallardo/status/1070843052229455873","1070843052229455873")</f>
        <v>1070843052229455873</v>
      </c>
      <c r="F1807" s="12" t="s">
        <v>6706</v>
      </c>
      <c r="G1807" s="11"/>
      <c r="H1807" s="11"/>
      <c r="I1807" s="13">
        <v>0</v>
      </c>
      <c r="J1807" s="13">
        <v>0</v>
      </c>
      <c r="K1807" s="14" t="str">
        <f>HYPERLINK("http://twitter.com","Twitter Web Client")</f>
        <v>Twitter Web Client</v>
      </c>
      <c r="L1807" s="13">
        <v>13600</v>
      </c>
      <c r="M1807" s="13">
        <v>383</v>
      </c>
      <c r="N1807" s="13">
        <v>815</v>
      </c>
      <c r="O1807" s="15"/>
      <c r="P1807" s="6">
        <v>39807.138333333336</v>
      </c>
      <c r="Q1807" s="18" t="s">
        <v>6707</v>
      </c>
      <c r="R1807" s="19" t="s">
        <v>6708</v>
      </c>
      <c r="S1807" s="12" t="s">
        <v>6709</v>
      </c>
      <c r="T1807" s="11"/>
      <c r="U1807" s="10" t="str">
        <f>HYPERLINK("https://pbs.twimg.com/profile_images/461217732994670592/PKbcikgq.png","View")</f>
        <v>View</v>
      </c>
    </row>
    <row r="1808" spans="1:21" ht="40.799999999999997">
      <c r="A1808" s="6">
        <v>43441.074212962965</v>
      </c>
      <c r="B1808" s="7" t="str">
        <f>HYPERLINK("https://twitter.com/yepavictor","@yepavictor")</f>
        <v>@yepavictor</v>
      </c>
      <c r="C1808" s="8" t="s">
        <v>3566</v>
      </c>
      <c r="D1808" s="9" t="s">
        <v>3567</v>
      </c>
      <c r="E1808" s="10" t="str">
        <f>HYPERLINK("https://twitter.com/yepavictor/status/1070842042178260993","1070842042178260993")</f>
        <v>1070842042178260993</v>
      </c>
      <c r="F1808" s="11"/>
      <c r="G1808" s="11"/>
      <c r="H1808" s="11"/>
      <c r="I1808" s="13">
        <v>0</v>
      </c>
      <c r="J1808" s="13">
        <v>1</v>
      </c>
      <c r="K1808" s="14" t="str">
        <f>HYPERLINK("http://twitter.com/download/iphone","Twitter for iPhone")</f>
        <v>Twitter for iPhone</v>
      </c>
      <c r="L1808" s="13">
        <v>574</v>
      </c>
      <c r="M1808" s="13">
        <v>526</v>
      </c>
      <c r="N1808" s="13">
        <v>3</v>
      </c>
      <c r="O1808" s="15"/>
      <c r="P1808" s="6">
        <v>41345.615266203706</v>
      </c>
      <c r="Q1808" s="18" t="s">
        <v>3568</v>
      </c>
      <c r="R1808" s="19" t="s">
        <v>3569</v>
      </c>
      <c r="S1808" s="11"/>
      <c r="T1808" s="11"/>
      <c r="U1808" s="10" t="str">
        <f>HYPERLINK("https://pbs.twimg.com/profile_images/762941886227152896/rFblnea0.jpg","View")</f>
        <v>View</v>
      </c>
    </row>
    <row r="1809" spans="1:21" ht="40.799999999999997">
      <c r="A1809" s="6">
        <v>43441.071504629625</v>
      </c>
      <c r="B1809" s="7" t="str">
        <f>HYPERLINK("https://twitter.com/EspanaJusta10","@EspanaJusta10")</f>
        <v>@EspanaJusta10</v>
      </c>
      <c r="C1809" s="8" t="s">
        <v>6710</v>
      </c>
      <c r="D1809" s="9" t="s">
        <v>6711</v>
      </c>
      <c r="E1809" s="10" t="str">
        <f>HYPERLINK("https://twitter.com/EspanaJusta10/status/1070841057804500994","1070841057804500994")</f>
        <v>1070841057804500994</v>
      </c>
      <c r="F1809" s="12" t="s">
        <v>2161</v>
      </c>
      <c r="G1809" s="11"/>
      <c r="H1809" s="11"/>
      <c r="I1809" s="13">
        <v>2</v>
      </c>
      <c r="J1809" s="13">
        <v>2</v>
      </c>
      <c r="K1809" s="14" t="str">
        <f>HYPERLINK("http://twitter.com","Twitter Web Client")</f>
        <v>Twitter Web Client</v>
      </c>
      <c r="L1809" s="13">
        <v>341</v>
      </c>
      <c r="M1809" s="13">
        <v>1076</v>
      </c>
      <c r="N1809" s="13">
        <v>0</v>
      </c>
      <c r="O1809" s="15"/>
      <c r="P1809" s="6">
        <v>43384.003148148149</v>
      </c>
      <c r="Q1809" s="18" t="s">
        <v>173</v>
      </c>
      <c r="R1809" s="19" t="s">
        <v>6712</v>
      </c>
      <c r="S1809" s="11"/>
      <c r="T1809" s="11"/>
      <c r="U1809" s="10" t="str">
        <f>HYPERLINK("https://pbs.twimg.com/profile_images/1050164153313320960/E5l4rbsK.jpg","View")</f>
        <v>View</v>
      </c>
    </row>
    <row r="1810" spans="1:21" ht="40.799999999999997">
      <c r="A1810" s="6">
        <v>43441.0706712963</v>
      </c>
      <c r="B1810" s="7" t="str">
        <f>HYPERLINK("https://twitter.com/pablo_tucuman","@pablo_tucuman")</f>
        <v>@pablo_tucuman</v>
      </c>
      <c r="C1810" s="8" t="s">
        <v>6713</v>
      </c>
      <c r="D1810" s="9" t="s">
        <v>6714</v>
      </c>
      <c r="E1810" s="10" t="str">
        <f>HYPERLINK("https://twitter.com/pablo_tucuman/status/1070840756724748291","1070840756724748291")</f>
        <v>1070840756724748291</v>
      </c>
      <c r="F1810" s="12" t="s">
        <v>6715</v>
      </c>
      <c r="G1810" s="12" t="s">
        <v>6716</v>
      </c>
      <c r="H1810" s="11"/>
      <c r="I1810" s="13">
        <v>0</v>
      </c>
      <c r="J1810" s="13">
        <v>1</v>
      </c>
      <c r="K1810" s="14" t="str">
        <f>HYPERLINK("http://twitter.com/download/android","Twitter for Android")</f>
        <v>Twitter for Android</v>
      </c>
      <c r="L1810" s="13">
        <v>107</v>
      </c>
      <c r="M1810" s="13">
        <v>1017</v>
      </c>
      <c r="N1810" s="13">
        <v>1</v>
      </c>
      <c r="O1810" s="15"/>
      <c r="P1810" s="6">
        <v>41179.80263888889</v>
      </c>
      <c r="Q1810" s="11"/>
      <c r="R1810" s="17"/>
      <c r="S1810" s="11"/>
      <c r="T1810" s="11"/>
      <c r="U1810" s="10" t="str">
        <f>HYPERLINK("https://pbs.twimg.com/profile_images/1028307820834316288/ItPRi2zD.jpg","View")</f>
        <v>View</v>
      </c>
    </row>
    <row r="1811" spans="1:21" ht="30.6">
      <c r="A1811" s="6">
        <v>43441.070636574077</v>
      </c>
      <c r="B1811" s="7" t="str">
        <f>HYPERLINK("https://twitter.com/ebellop","@ebellop")</f>
        <v>@ebellop</v>
      </c>
      <c r="C1811" s="8" t="s">
        <v>6717</v>
      </c>
      <c r="D1811" s="9" t="s">
        <v>3154</v>
      </c>
      <c r="E1811" s="10" t="str">
        <f>HYPERLINK("https://twitter.com/ebellop/status/1070840744305459201","1070840744305459201")</f>
        <v>1070840744305459201</v>
      </c>
      <c r="F1811" s="12" t="s">
        <v>712</v>
      </c>
      <c r="G1811" s="11"/>
      <c r="H1811" s="11"/>
      <c r="I1811" s="13">
        <v>0</v>
      </c>
      <c r="J1811" s="13">
        <v>0</v>
      </c>
      <c r="K1811" s="14" t="str">
        <f>HYPERLINK("http://twitter.com/download/iphone","Twitter for iPhone")</f>
        <v>Twitter for iPhone</v>
      </c>
      <c r="L1811" s="13">
        <v>221</v>
      </c>
      <c r="M1811" s="13">
        <v>513</v>
      </c>
      <c r="N1811" s="13">
        <v>0</v>
      </c>
      <c r="O1811" s="15"/>
      <c r="P1811" s="6">
        <v>40267.793912037036</v>
      </c>
      <c r="Q1811" s="18" t="s">
        <v>942</v>
      </c>
      <c r="R1811" s="19" t="s">
        <v>6718</v>
      </c>
      <c r="S1811" s="11"/>
      <c r="T1811" s="11"/>
      <c r="U1811" s="10" t="str">
        <f>HYPERLINK("https://pbs.twimg.com/profile_images/1166675105/Serenata_a_Sta_Rosalia_6.jpg","View")</f>
        <v>View</v>
      </c>
    </row>
    <row r="1812" spans="1:21" ht="40.799999999999997">
      <c r="A1812" s="6">
        <v>43441.069479166668</v>
      </c>
      <c r="B1812" s="7" t="str">
        <f>HYPERLINK("https://twitter.com/leandroparra91","@leandroparra91")</f>
        <v>@leandroparra91</v>
      </c>
      <c r="C1812" s="8" t="s">
        <v>6719</v>
      </c>
      <c r="D1812" s="9" t="s">
        <v>2453</v>
      </c>
      <c r="E1812" s="10" t="str">
        <f>HYPERLINK("https://twitter.com/leandroparra91/status/1070840326896668673","1070840326896668673")</f>
        <v>1070840326896668673</v>
      </c>
      <c r="F1812" s="12" t="s">
        <v>2454</v>
      </c>
      <c r="G1812" s="11"/>
      <c r="H1812" s="11"/>
      <c r="I1812" s="13">
        <v>0</v>
      </c>
      <c r="J1812" s="13">
        <v>0</v>
      </c>
      <c r="K1812" s="14" t="str">
        <f>HYPERLINK("https://www.google.com/","Google")</f>
        <v>Google</v>
      </c>
      <c r="L1812" s="13">
        <v>175</v>
      </c>
      <c r="M1812" s="13">
        <v>1784</v>
      </c>
      <c r="N1812" s="13">
        <v>1</v>
      </c>
      <c r="O1812" s="15"/>
      <c r="P1812" s="6">
        <v>42667.629479166666</v>
      </c>
      <c r="Q1812" s="18" t="s">
        <v>256</v>
      </c>
      <c r="R1812" s="19" t="s">
        <v>6720</v>
      </c>
      <c r="S1812" s="11"/>
      <c r="T1812" s="11"/>
      <c r="U1812" s="16" t="s">
        <v>191</v>
      </c>
    </row>
    <row r="1813" spans="1:21" ht="51">
      <c r="A1813" s="6">
        <v>43441.066689814819</v>
      </c>
      <c r="B1813" s="7" t="str">
        <f>HYPERLINK("https://twitter.com/StarBut63455464","@StarBut63455464")</f>
        <v>@StarBut63455464</v>
      </c>
      <c r="C1813" s="8" t="s">
        <v>1213</v>
      </c>
      <c r="D1813" s="9" t="s">
        <v>3572</v>
      </c>
      <c r="E1813" s="10" t="str">
        <f>HYPERLINK("https://twitter.com/StarBut63455464/status/1070839313724788736","1070839313724788736")</f>
        <v>1070839313724788736</v>
      </c>
      <c r="F1813" s="11"/>
      <c r="G1813" s="11"/>
      <c r="H1813" s="11"/>
      <c r="I1813" s="13">
        <v>0</v>
      </c>
      <c r="J1813" s="13">
        <v>0</v>
      </c>
      <c r="K1813" s="14" t="str">
        <f>HYPERLINK("http://twitter.com","Twitter Web Client")</f>
        <v>Twitter Web Client</v>
      </c>
      <c r="L1813" s="13">
        <v>63</v>
      </c>
      <c r="M1813" s="13">
        <v>109</v>
      </c>
      <c r="N1813" s="13">
        <v>0</v>
      </c>
      <c r="O1813" s="15"/>
      <c r="P1813" s="6">
        <v>43322.544629629629</v>
      </c>
      <c r="Q1813" s="11"/>
      <c r="R1813" s="17"/>
      <c r="S1813" s="11"/>
      <c r="T1813" s="11"/>
      <c r="U1813" s="10" t="str">
        <f>HYPERLINK("https://pbs.twimg.com/profile_images/1027874980502151169/UDAvrnaF.jpg","View")</f>
        <v>View</v>
      </c>
    </row>
    <row r="1814" spans="1:21" ht="40.799999999999997">
      <c r="A1814" s="6">
        <v>43441.063634259262</v>
      </c>
      <c r="B1814" s="7" t="str">
        <f>HYPERLINK("https://twitter.com/JILopezBas","@JILopezBas")</f>
        <v>@JILopezBas</v>
      </c>
      <c r="C1814" s="8" t="s">
        <v>6721</v>
      </c>
      <c r="D1814" s="9" t="s">
        <v>6722</v>
      </c>
      <c r="E1814" s="10" t="str">
        <f>HYPERLINK("https://twitter.com/JILopezBas/status/1070838208206921730","1070838208206921730")</f>
        <v>1070838208206921730</v>
      </c>
      <c r="F1814" s="11"/>
      <c r="G1814" s="12" t="s">
        <v>6723</v>
      </c>
      <c r="H1814" s="11"/>
      <c r="I1814" s="13">
        <v>1</v>
      </c>
      <c r="J1814" s="13">
        <v>2</v>
      </c>
      <c r="K1814" s="14" t="str">
        <f>HYPERLINK("http://twitter.com/download/android","Twitter for Android")</f>
        <v>Twitter for Android</v>
      </c>
      <c r="L1814" s="13">
        <v>1050</v>
      </c>
      <c r="M1814" s="13">
        <v>1050</v>
      </c>
      <c r="N1814" s="13">
        <v>9</v>
      </c>
      <c r="O1814" s="15"/>
      <c r="P1814" s="6">
        <v>42135.56177083333</v>
      </c>
      <c r="Q1814" s="18" t="s">
        <v>6724</v>
      </c>
      <c r="R1814" s="19" t="s">
        <v>6725</v>
      </c>
      <c r="S1814" s="12" t="s">
        <v>6726</v>
      </c>
      <c r="T1814" s="11"/>
      <c r="U1814" s="10" t="str">
        <f>HYPERLINK("https://pbs.twimg.com/profile_images/1049429585258061829/g2kVGuyC.jpg","View")</f>
        <v>View</v>
      </c>
    </row>
    <row r="1815" spans="1:21" ht="40.799999999999997">
      <c r="A1815" s="6">
        <v>43441.06212962963</v>
      </c>
      <c r="B1815" s="7" t="str">
        <f>HYPERLINK("https://twitter.com/CarmenFCollado","@CarmenFCollado")</f>
        <v>@CarmenFCollado</v>
      </c>
      <c r="C1815" s="8" t="s">
        <v>6727</v>
      </c>
      <c r="D1815" s="9" t="s">
        <v>6728</v>
      </c>
      <c r="E1815" s="10" t="str">
        <f>HYPERLINK("https://twitter.com/CarmenFCollado/status/1070837660342804483","1070837660342804483")</f>
        <v>1070837660342804483</v>
      </c>
      <c r="F1815" s="11"/>
      <c r="G1815" s="11"/>
      <c r="H1815" s="11"/>
      <c r="I1815" s="13">
        <v>0</v>
      </c>
      <c r="J1815" s="13">
        <v>2</v>
      </c>
      <c r="K1815" s="14" t="str">
        <f>HYPERLINK("http://twitter.com","Twitter Web Client")</f>
        <v>Twitter Web Client</v>
      </c>
      <c r="L1815" s="13">
        <v>229</v>
      </c>
      <c r="M1815" s="13">
        <v>104</v>
      </c>
      <c r="N1815" s="13">
        <v>3</v>
      </c>
      <c r="O1815" s="15"/>
      <c r="P1815" s="6">
        <v>41550.580706018518</v>
      </c>
      <c r="Q1815" s="18" t="s">
        <v>1117</v>
      </c>
      <c r="R1815" s="19" t="s">
        <v>6729</v>
      </c>
      <c r="S1815" s="11"/>
      <c r="T1815" s="11"/>
      <c r="U1815" s="10" t="str">
        <f>HYPERLINK("https://pbs.twimg.com/profile_images/1032881546984873984/ESs5fyne.jpg","View")</f>
        <v>View</v>
      </c>
    </row>
    <row r="1816" spans="1:21" ht="51">
      <c r="A1816" s="6">
        <v>43441.061979166669</v>
      </c>
      <c r="B1816" s="7" t="str">
        <f>HYPERLINK("https://twitter.com/Manuel_Atleti66","@Manuel_Atleti66")</f>
        <v>@Manuel_Atleti66</v>
      </c>
      <c r="C1816" s="8" t="s">
        <v>900</v>
      </c>
      <c r="D1816" s="9" t="s">
        <v>6730</v>
      </c>
      <c r="E1816" s="10" t="str">
        <f>HYPERLINK("https://twitter.com/Manuel_Atleti66/status/1070837605556719616","1070837605556719616")</f>
        <v>1070837605556719616</v>
      </c>
      <c r="F1816" s="11"/>
      <c r="G1816" s="11"/>
      <c r="H1816" s="11"/>
      <c r="I1816" s="13">
        <v>0</v>
      </c>
      <c r="J1816" s="13">
        <v>1</v>
      </c>
      <c r="K1816" s="14" t="str">
        <f t="shared" ref="K1816:K1819" si="308">HYPERLINK("http://twitter.com/download/android","Twitter for Android")</f>
        <v>Twitter for Android</v>
      </c>
      <c r="L1816" s="13">
        <v>74</v>
      </c>
      <c r="M1816" s="13">
        <v>258</v>
      </c>
      <c r="N1816" s="13">
        <v>0</v>
      </c>
      <c r="O1816" s="15"/>
      <c r="P1816" s="6">
        <v>42897.407696759255</v>
      </c>
      <c r="Q1816" s="18" t="s">
        <v>42</v>
      </c>
      <c r="R1816" s="19" t="s">
        <v>6732</v>
      </c>
      <c r="S1816" s="11"/>
      <c r="T1816" s="11"/>
      <c r="U1816" s="10" t="str">
        <f>HYPERLINK("https://pbs.twimg.com/profile_images/873823162282233856/ktIfJwtc.jpg","View")</f>
        <v>View</v>
      </c>
    </row>
    <row r="1817" spans="1:21" ht="20.399999999999999">
      <c r="A1817" s="6">
        <v>43441.060185185182</v>
      </c>
      <c r="B1817" s="7" t="str">
        <f>HYPERLINK("https://twitter.com/clamorsegovia","@clamorsegovia")</f>
        <v>@clamorsegovia</v>
      </c>
      <c r="C1817" s="8" t="s">
        <v>6733</v>
      </c>
      <c r="D1817" s="9" t="s">
        <v>6637</v>
      </c>
      <c r="E1817" s="10" t="str">
        <f>HYPERLINK("https://twitter.com/clamorsegovia/status/1070836956622405632","1070836956622405632")</f>
        <v>1070836956622405632</v>
      </c>
      <c r="F1817" s="12" t="s">
        <v>3589</v>
      </c>
      <c r="G1817" s="11"/>
      <c r="H1817" s="11"/>
      <c r="I1817" s="13">
        <v>0</v>
      </c>
      <c r="J1817" s="13">
        <v>0</v>
      </c>
      <c r="K1817" s="14" t="str">
        <f t="shared" si="308"/>
        <v>Twitter for Android</v>
      </c>
      <c r="L1817" s="13">
        <v>2718</v>
      </c>
      <c r="M1817" s="13">
        <v>1712</v>
      </c>
      <c r="N1817" s="13">
        <v>44</v>
      </c>
      <c r="O1817" s="15"/>
      <c r="P1817" s="6">
        <v>40615.442974537036</v>
      </c>
      <c r="Q1817" s="18" t="s">
        <v>307</v>
      </c>
      <c r="R1817" s="19" t="s">
        <v>6734</v>
      </c>
      <c r="S1817" s="12" t="s">
        <v>6735</v>
      </c>
      <c r="T1817" s="11"/>
      <c r="U1817" s="10" t="str">
        <f>HYPERLINK("https://pbs.twimg.com/profile_images/1055051697536622592/sYsCmnMN.jpg","View")</f>
        <v>View</v>
      </c>
    </row>
    <row r="1818" spans="1:21" ht="20.399999999999999">
      <c r="A1818" s="6">
        <v>43441.059571759259</v>
      </c>
      <c r="B1818" s="7" t="str">
        <f>HYPERLINK("https://twitter.com/MasterKonig","@MasterKonig")</f>
        <v>@MasterKonig</v>
      </c>
      <c r="C1818" s="8" t="s">
        <v>6736</v>
      </c>
      <c r="D1818" s="9" t="s">
        <v>6737</v>
      </c>
      <c r="E1818" s="10" t="str">
        <f>HYPERLINK("https://twitter.com/MasterKonig/status/1070836736434036736","1070836736434036736")</f>
        <v>1070836736434036736</v>
      </c>
      <c r="F1818" s="11"/>
      <c r="G1818" s="12" t="s">
        <v>6738</v>
      </c>
      <c r="H1818" s="11"/>
      <c r="I1818" s="13">
        <v>0</v>
      </c>
      <c r="J1818" s="13">
        <v>0</v>
      </c>
      <c r="K1818" s="14" t="str">
        <f t="shared" si="308"/>
        <v>Twitter for Android</v>
      </c>
      <c r="L1818" s="13">
        <v>55</v>
      </c>
      <c r="M1818" s="13">
        <v>290</v>
      </c>
      <c r="N1818" s="13">
        <v>0</v>
      </c>
      <c r="O1818" s="15"/>
      <c r="P1818" s="6">
        <v>43097.681631944448</v>
      </c>
      <c r="Q1818" s="18" t="s">
        <v>6739</v>
      </c>
      <c r="R1818" s="19" t="s">
        <v>6740</v>
      </c>
      <c r="S1818" s="11"/>
      <c r="T1818" s="11"/>
      <c r="U1818" s="10" t="str">
        <f>HYPERLINK("https://pbs.twimg.com/profile_images/948590353707356162/ndDtAemc.jpg","View")</f>
        <v>View</v>
      </c>
    </row>
    <row r="1819" spans="1:21" ht="102">
      <c r="A1819" s="6">
        <v>43441.057962962965</v>
      </c>
      <c r="B1819" s="7" t="str">
        <f>HYPERLINK("https://twitter.com/fjmmelx","@fjmmelx")</f>
        <v>@fjmmelx</v>
      </c>
      <c r="C1819" s="8" t="s">
        <v>6741</v>
      </c>
      <c r="D1819" s="9" t="s">
        <v>6742</v>
      </c>
      <c r="E1819" s="10" t="str">
        <f>HYPERLINK("https://twitter.com/fjmmelx/status/1070836152180051968","1070836152180051968")</f>
        <v>1070836152180051968</v>
      </c>
      <c r="F1819" s="12" t="s">
        <v>6743</v>
      </c>
      <c r="G1819" s="11"/>
      <c r="H1819" s="11"/>
      <c r="I1819" s="13">
        <v>0</v>
      </c>
      <c r="J1819" s="13">
        <v>0</v>
      </c>
      <c r="K1819" s="14" t="str">
        <f t="shared" si="308"/>
        <v>Twitter for Android</v>
      </c>
      <c r="L1819" s="13">
        <v>549</v>
      </c>
      <c r="M1819" s="13">
        <v>544</v>
      </c>
      <c r="N1819" s="13">
        <v>14</v>
      </c>
      <c r="O1819" s="15"/>
      <c r="P1819" s="6">
        <v>41449.899085648147</v>
      </c>
      <c r="Q1819" s="18" t="s">
        <v>6744</v>
      </c>
      <c r="R1819" s="19" t="s">
        <v>6745</v>
      </c>
      <c r="S1819" s="12" t="s">
        <v>6746</v>
      </c>
      <c r="T1819" s="11"/>
      <c r="U1819" s="10" t="str">
        <f>HYPERLINK("https://pbs.twimg.com/profile_images/378800000040668841/caf5abddf3012b7197aa5c500614d37d.jpeg","View")</f>
        <v>View</v>
      </c>
    </row>
    <row r="1820" spans="1:21" ht="61.2">
      <c r="A1820" s="6">
        <v>43441.057743055557</v>
      </c>
      <c r="B1820" s="7" t="str">
        <f>HYPERLINK("https://twitter.com/OEquidad","@OEquidad")</f>
        <v>@OEquidad</v>
      </c>
      <c r="C1820" s="8" t="s">
        <v>2309</v>
      </c>
      <c r="D1820" s="9" t="s">
        <v>3580</v>
      </c>
      <c r="E1820" s="10" t="str">
        <f>HYPERLINK("https://twitter.com/OEquidad/status/1070836070353395714","1070836070353395714")</f>
        <v>1070836070353395714</v>
      </c>
      <c r="F1820" s="12" t="s">
        <v>732</v>
      </c>
      <c r="G1820" s="11"/>
      <c r="H1820" s="11"/>
      <c r="I1820" s="13">
        <v>0</v>
      </c>
      <c r="J1820" s="13">
        <v>0</v>
      </c>
      <c r="K1820" s="14" t="str">
        <f t="shared" ref="K1820:K1822" si="309">HYPERLINK("http://twitter.com/download/iphone","Twitter for iPhone")</f>
        <v>Twitter for iPhone</v>
      </c>
      <c r="L1820" s="13">
        <v>148</v>
      </c>
      <c r="M1820" s="13">
        <v>701</v>
      </c>
      <c r="N1820" s="13">
        <v>0</v>
      </c>
      <c r="O1820" s="15"/>
      <c r="P1820" s="6">
        <v>43329.579606481479</v>
      </c>
      <c r="Q1820" s="18" t="s">
        <v>41</v>
      </c>
      <c r="R1820" s="19" t="s">
        <v>2315</v>
      </c>
      <c r="S1820" s="11"/>
      <c r="T1820" s="11"/>
      <c r="U1820" s="10" t="str">
        <f>HYPERLINK("https://pbs.twimg.com/profile_images/1030476800353337345/uFi5OkNW.jpg","View")</f>
        <v>View</v>
      </c>
    </row>
    <row r="1821" spans="1:21" ht="30.6">
      <c r="A1821" s="6">
        <v>43441.056597222225</v>
      </c>
      <c r="B1821" s="7" t="str">
        <f>HYPERLINK("https://twitter.com/AntoniGinard","@AntoniGinard")</f>
        <v>@AntoniGinard</v>
      </c>
      <c r="C1821" s="8" t="s">
        <v>3586</v>
      </c>
      <c r="D1821" s="9" t="s">
        <v>3587</v>
      </c>
      <c r="E1821" s="10" t="str">
        <f>HYPERLINK("https://twitter.com/AntoniGinard/status/1070835656950194177","1070835656950194177")</f>
        <v>1070835656950194177</v>
      </c>
      <c r="F1821" s="12" t="s">
        <v>3589</v>
      </c>
      <c r="G1821" s="11"/>
      <c r="H1821" s="11"/>
      <c r="I1821" s="13">
        <v>0</v>
      </c>
      <c r="J1821" s="13">
        <v>0</v>
      </c>
      <c r="K1821" s="14" t="str">
        <f t="shared" si="309"/>
        <v>Twitter for iPhone</v>
      </c>
      <c r="L1821" s="13">
        <v>1377</v>
      </c>
      <c r="M1821" s="13">
        <v>1508</v>
      </c>
      <c r="N1821" s="13">
        <v>25</v>
      </c>
      <c r="O1821" s="15"/>
      <c r="P1821" s="6">
        <v>41898.696284722224</v>
      </c>
      <c r="Q1821" s="11"/>
      <c r="R1821" s="19" t="s">
        <v>3592</v>
      </c>
      <c r="S1821" s="11"/>
      <c r="T1821" s="11"/>
      <c r="U1821" s="10" t="str">
        <f>HYPERLINK("https://pbs.twimg.com/profile_images/786337585517977601/ypEN8F5-.jpg","View")</f>
        <v>View</v>
      </c>
    </row>
    <row r="1822" spans="1:21" ht="71.400000000000006">
      <c r="A1822" s="6">
        <v>43441.055104166662</v>
      </c>
      <c r="B1822" s="7" t="str">
        <f>HYPERLINK("https://twitter.com/vctrae","@vctrae")</f>
        <v>@vctrae</v>
      </c>
      <c r="C1822" s="8" t="s">
        <v>6747</v>
      </c>
      <c r="D1822" s="9" t="s">
        <v>6748</v>
      </c>
      <c r="E1822" s="10" t="str">
        <f>HYPERLINK("https://twitter.com/vctrae/status/1070835115251679232","1070835115251679232")</f>
        <v>1070835115251679232</v>
      </c>
      <c r="F1822" s="12" t="s">
        <v>3074</v>
      </c>
      <c r="G1822" s="12" t="s">
        <v>3075</v>
      </c>
      <c r="H1822" s="11"/>
      <c r="I1822" s="13">
        <v>0</v>
      </c>
      <c r="J1822" s="13">
        <v>0</v>
      </c>
      <c r="K1822" s="14" t="str">
        <f t="shared" si="309"/>
        <v>Twitter for iPhone</v>
      </c>
      <c r="L1822" s="13">
        <v>73</v>
      </c>
      <c r="M1822" s="13">
        <v>290</v>
      </c>
      <c r="N1822" s="13">
        <v>0</v>
      </c>
      <c r="O1822" s="15"/>
      <c r="P1822" s="6">
        <v>43261.93377314815</v>
      </c>
      <c r="Q1822" s="18" t="s">
        <v>898</v>
      </c>
      <c r="R1822" s="19" t="s">
        <v>6749</v>
      </c>
      <c r="S1822" s="11"/>
      <c r="T1822" s="11"/>
      <c r="U1822" s="10" t="str">
        <f>HYPERLINK("https://pbs.twimg.com/profile_images/1047443764862767104/3Ikxcal6.jpg","View")</f>
        <v>View</v>
      </c>
    </row>
    <row r="1823" spans="1:21" ht="30.6">
      <c r="A1823" s="6">
        <v>43441.05400462963</v>
      </c>
      <c r="B1823" s="7" t="str">
        <f>HYPERLINK("https://twitter.com/Elazote52008222","@Elazote52008222")</f>
        <v>@Elazote52008222</v>
      </c>
      <c r="C1823" s="8" t="s">
        <v>3595</v>
      </c>
      <c r="D1823" s="9" t="s">
        <v>3596</v>
      </c>
      <c r="E1823" s="10" t="str">
        <f>HYPERLINK("https://twitter.com/Elazote52008222/status/1070834717174497280","1070834717174497280")</f>
        <v>1070834717174497280</v>
      </c>
      <c r="F1823" s="12" t="s">
        <v>3599</v>
      </c>
      <c r="G1823" s="11"/>
      <c r="H1823" s="11"/>
      <c r="I1823" s="13">
        <v>0</v>
      </c>
      <c r="J1823" s="13">
        <v>0</v>
      </c>
      <c r="K1823" s="14" t="str">
        <f>HYPERLINK("http://twitter.com/download/android","Twitter for Android")</f>
        <v>Twitter for Android</v>
      </c>
      <c r="L1823" s="13">
        <v>117</v>
      </c>
      <c r="M1823" s="13">
        <v>372</v>
      </c>
      <c r="N1823" s="13">
        <v>1</v>
      </c>
      <c r="O1823" s="15"/>
      <c r="P1823" s="6">
        <v>43328.634502314817</v>
      </c>
      <c r="Q1823" s="11"/>
      <c r="R1823" s="17"/>
      <c r="S1823" s="11"/>
      <c r="T1823" s="11"/>
      <c r="U1823" s="10" t="str">
        <f>HYPERLINK("https://pbs.twimg.com/profile_images/1030163525061300226/H6z0SZDH.jpg","View")</f>
        <v>View</v>
      </c>
    </row>
    <row r="1824" spans="1:21" ht="40.799999999999997">
      <c r="A1824" s="6">
        <v>43441.053865740745</v>
      </c>
      <c r="B1824" s="7" t="str">
        <f>HYPERLINK("https://twitter.com/Armunho","@Armunho")</f>
        <v>@Armunho</v>
      </c>
      <c r="C1824" s="8" t="s">
        <v>6750</v>
      </c>
      <c r="D1824" s="9" t="s">
        <v>6751</v>
      </c>
      <c r="E1824" s="10" t="str">
        <f>HYPERLINK("https://twitter.com/Armunho/status/1070834667333541888","1070834667333541888")</f>
        <v>1070834667333541888</v>
      </c>
      <c r="F1824" s="11"/>
      <c r="G1824" s="12" t="s">
        <v>6752</v>
      </c>
      <c r="H1824" s="11"/>
      <c r="I1824" s="13">
        <v>31</v>
      </c>
      <c r="J1824" s="13">
        <v>65</v>
      </c>
      <c r="K1824" s="14" t="str">
        <f t="shared" ref="K1824:K1825" si="310">HYPERLINK("http://twitter.com","Twitter Web Client")</f>
        <v>Twitter Web Client</v>
      </c>
      <c r="L1824" s="13">
        <v>4793</v>
      </c>
      <c r="M1824" s="13">
        <v>499</v>
      </c>
      <c r="N1824" s="13">
        <v>117</v>
      </c>
      <c r="O1824" s="15"/>
      <c r="P1824" s="6">
        <v>40540.106111111112</v>
      </c>
      <c r="Q1824" s="18" t="s">
        <v>1740</v>
      </c>
      <c r="R1824" s="19" t="s">
        <v>6753</v>
      </c>
      <c r="S1824" s="11"/>
      <c r="T1824" s="11"/>
      <c r="U1824" s="10" t="str">
        <f>HYPERLINK("https://pbs.twimg.com/profile_images/1060423339523670016/O7nBm2DF.jpg","View")</f>
        <v>View</v>
      </c>
    </row>
    <row r="1825" spans="1:21" ht="20.399999999999999">
      <c r="A1825" s="6">
        <v>43441.051770833335</v>
      </c>
      <c r="B1825" s="7" t="str">
        <f>HYPERLINK("https://twitter.com/joalep1972","@joalep1972")</f>
        <v>@joalep1972</v>
      </c>
      <c r="C1825" s="8" t="s">
        <v>5044</v>
      </c>
      <c r="D1825" s="9" t="s">
        <v>6754</v>
      </c>
      <c r="E1825" s="10" t="str">
        <f>HYPERLINK("https://twitter.com/joalep1972/status/1070833906834915329","1070833906834915329")</f>
        <v>1070833906834915329</v>
      </c>
      <c r="F1825" s="12" t="s">
        <v>6755</v>
      </c>
      <c r="G1825" s="11"/>
      <c r="H1825" s="11"/>
      <c r="I1825" s="13">
        <v>0</v>
      </c>
      <c r="J1825" s="13">
        <v>0</v>
      </c>
      <c r="K1825" s="14" t="str">
        <f t="shared" si="310"/>
        <v>Twitter Web Client</v>
      </c>
      <c r="L1825" s="13">
        <v>454</v>
      </c>
      <c r="M1825" s="13">
        <v>4364</v>
      </c>
      <c r="N1825" s="13">
        <v>0</v>
      </c>
      <c r="O1825" s="15"/>
      <c r="P1825" s="6">
        <v>43235.942337962959</v>
      </c>
      <c r="Q1825" s="18" t="s">
        <v>3906</v>
      </c>
      <c r="R1825" s="17"/>
      <c r="S1825" s="12" t="s">
        <v>5047</v>
      </c>
      <c r="T1825" s="11"/>
      <c r="U1825" s="10" t="str">
        <f>HYPERLINK("https://pbs.twimg.com/profile_images/996494728802775043/RNsbVmZZ.jpg","View")</f>
        <v>View</v>
      </c>
    </row>
    <row r="1826" spans="1:21" ht="20.399999999999999">
      <c r="A1826" s="6">
        <v>43441.047916666663</v>
      </c>
      <c r="B1826" s="7" t="str">
        <f>HYPERLINK("https://twitter.com/sumariumcom","@sumariumcom")</f>
        <v>@sumariumcom</v>
      </c>
      <c r="C1826" s="8" t="s">
        <v>4153</v>
      </c>
      <c r="D1826" s="9" t="s">
        <v>4154</v>
      </c>
      <c r="E1826" s="10" t="str">
        <f>HYPERLINK("https://twitter.com/sumariumcom/status/1070832513252233222","1070832513252233222")</f>
        <v>1070832513252233222</v>
      </c>
      <c r="F1826" s="12" t="s">
        <v>4156</v>
      </c>
      <c r="G1826" s="12" t="s">
        <v>4157</v>
      </c>
      <c r="H1826" s="11"/>
      <c r="I1826" s="13">
        <v>0</v>
      </c>
      <c r="J1826" s="13">
        <v>0</v>
      </c>
      <c r="K1826" s="14" t="str">
        <f>HYPERLINK("https://about.twitter.com/products/tweetdeck","TweetDeck")</f>
        <v>TweetDeck</v>
      </c>
      <c r="L1826" s="13">
        <v>164401</v>
      </c>
      <c r="M1826" s="13">
        <v>996</v>
      </c>
      <c r="N1826" s="13">
        <v>1122</v>
      </c>
      <c r="O1826" s="15"/>
      <c r="P1826" s="6">
        <v>40977.809594907405</v>
      </c>
      <c r="Q1826" s="18" t="s">
        <v>4159</v>
      </c>
      <c r="R1826" s="17"/>
      <c r="S1826" s="12" t="s">
        <v>4160</v>
      </c>
      <c r="T1826" s="11"/>
      <c r="U1826" s="10" t="str">
        <f>HYPERLINK("https://pbs.twimg.com/profile_images/1061987847874469888/mok5IDTt.jpg","View")</f>
        <v>View</v>
      </c>
    </row>
    <row r="1827" spans="1:21" ht="81.599999999999994">
      <c r="A1827" s="6">
        <v>43441.046701388885</v>
      </c>
      <c r="B1827" s="7" t="str">
        <f>HYPERLINK("https://twitter.com/BitxoPunisher","@BitxoPunisher")</f>
        <v>@BitxoPunisher</v>
      </c>
      <c r="C1827" s="8" t="s">
        <v>3602</v>
      </c>
      <c r="D1827" s="9" t="s">
        <v>3603</v>
      </c>
      <c r="E1827" s="10" t="str">
        <f>HYPERLINK("https://twitter.com/BitxoPunisher/status/1070832072120504321","1070832072120504321")</f>
        <v>1070832072120504321</v>
      </c>
      <c r="F1827" s="12" t="s">
        <v>732</v>
      </c>
      <c r="G1827" s="11"/>
      <c r="H1827" s="11"/>
      <c r="I1827" s="13">
        <v>0</v>
      </c>
      <c r="J1827" s="13">
        <v>0</v>
      </c>
      <c r="K1827" s="14" t="str">
        <f>HYPERLINK("http://twitter.com/download/iphone","Twitter for iPhone")</f>
        <v>Twitter for iPhone</v>
      </c>
      <c r="L1827" s="13">
        <v>92</v>
      </c>
      <c r="M1827" s="13">
        <v>59</v>
      </c>
      <c r="N1827" s="13">
        <v>1</v>
      </c>
      <c r="O1827" s="15"/>
      <c r="P1827" s="6">
        <v>42992.594444444447</v>
      </c>
      <c r="Q1827" s="11"/>
      <c r="R1827" s="17"/>
      <c r="S1827" s="11"/>
      <c r="T1827" s="11"/>
      <c r="U1827" s="10" t="str">
        <f>HYPERLINK("https://pbs.twimg.com/profile_images/908742543327850496/lVMOq80z.jpg","View")</f>
        <v>View</v>
      </c>
    </row>
    <row r="1828" spans="1:21" ht="102">
      <c r="A1828" s="6">
        <v>43441.046099537038</v>
      </c>
      <c r="B1828" s="7" t="str">
        <f>HYPERLINK("https://twitter.com/DameronFighter","@DameronFighter")</f>
        <v>@DameronFighter</v>
      </c>
      <c r="C1828" s="8" t="s">
        <v>3604</v>
      </c>
      <c r="D1828" s="9" t="s">
        <v>3605</v>
      </c>
      <c r="E1828" s="10" t="str">
        <f>HYPERLINK("https://twitter.com/DameronFighter/status/1070831851940519937","1070831851940519937")</f>
        <v>1070831851940519937</v>
      </c>
      <c r="F1828" s="12" t="s">
        <v>3606</v>
      </c>
      <c r="G1828" s="12" t="s">
        <v>3607</v>
      </c>
      <c r="H1828" s="11"/>
      <c r="I1828" s="13">
        <v>0</v>
      </c>
      <c r="J1828" s="13">
        <v>1</v>
      </c>
      <c r="K1828" s="14" t="str">
        <f t="shared" ref="K1828:K1829" si="311">HYPERLINK("http://twitter.com/download/android","Twitter for Android")</f>
        <v>Twitter for Android</v>
      </c>
      <c r="L1828" s="13">
        <v>1002</v>
      </c>
      <c r="M1828" s="13">
        <v>1511</v>
      </c>
      <c r="N1828" s="13">
        <v>25</v>
      </c>
      <c r="O1828" s="15"/>
      <c r="P1828" s="6">
        <v>40801.62903935185</v>
      </c>
      <c r="Q1828" s="18" t="s">
        <v>42</v>
      </c>
      <c r="R1828" s="19" t="s">
        <v>3608</v>
      </c>
      <c r="S1828" s="11"/>
      <c r="T1828" s="11"/>
      <c r="U1828" s="10" t="str">
        <f>HYPERLINK("https://pbs.twimg.com/profile_images/679302737113296896/k4tRE-C7.jpg","View")</f>
        <v>View</v>
      </c>
    </row>
    <row r="1829" spans="1:21" ht="30.6">
      <c r="A1829" s="6">
        <v>43441.045648148152</v>
      </c>
      <c r="B1829" s="7" t="str">
        <f>HYPERLINK("https://twitter.com/JMConfucio","@JMConfucio")</f>
        <v>@JMConfucio</v>
      </c>
      <c r="C1829" s="8" t="s">
        <v>3609</v>
      </c>
      <c r="D1829" s="9" t="s">
        <v>3610</v>
      </c>
      <c r="E1829" s="10" t="str">
        <f>HYPERLINK("https://twitter.com/JMConfucio/status/1070831688735956998","1070831688735956998")</f>
        <v>1070831688735956998</v>
      </c>
      <c r="F1829" s="11"/>
      <c r="G1829" s="12" t="s">
        <v>3611</v>
      </c>
      <c r="H1829" s="11"/>
      <c r="I1829" s="13">
        <v>1</v>
      </c>
      <c r="J1829" s="13">
        <v>1</v>
      </c>
      <c r="K1829" s="14" t="str">
        <f t="shared" si="311"/>
        <v>Twitter for Android</v>
      </c>
      <c r="L1829" s="13">
        <v>1601</v>
      </c>
      <c r="M1829" s="13">
        <v>1836</v>
      </c>
      <c r="N1829" s="13">
        <v>19</v>
      </c>
      <c r="O1829" s="15"/>
      <c r="P1829" s="6">
        <v>42437.134131944447</v>
      </c>
      <c r="Q1829" s="18" t="s">
        <v>3612</v>
      </c>
      <c r="R1829" s="19" t="s">
        <v>3613</v>
      </c>
      <c r="S1829" s="11"/>
      <c r="T1829" s="11"/>
      <c r="U1829" s="10" t="str">
        <f>HYPERLINK("https://pbs.twimg.com/profile_images/1022773057046433794/ACEoj1_8.jpg","View")</f>
        <v>View</v>
      </c>
    </row>
    <row r="1830" spans="1:21" ht="30.6">
      <c r="A1830" s="6">
        <v>43441.04515046296</v>
      </c>
      <c r="B1830" s="7" t="str">
        <f>HYPERLINK("https://twitter.com/PensadorAdelant","@PensadorAdelant")</f>
        <v>@PensadorAdelant</v>
      </c>
      <c r="C1830" s="8" t="s">
        <v>3614</v>
      </c>
      <c r="D1830" s="9" t="s">
        <v>3615</v>
      </c>
      <c r="E1830" s="10" t="str">
        <f>HYPERLINK("https://twitter.com/PensadorAdelant/status/1070831508510904320","1070831508510904320")</f>
        <v>1070831508510904320</v>
      </c>
      <c r="F1830" s="11"/>
      <c r="G1830" s="11"/>
      <c r="H1830" s="11"/>
      <c r="I1830" s="13">
        <v>1</v>
      </c>
      <c r="J1830" s="13">
        <v>1</v>
      </c>
      <c r="K1830" s="14" t="str">
        <f>HYPERLINK("http://twitter.com/download/iphone","Twitter for iPhone")</f>
        <v>Twitter for iPhone</v>
      </c>
      <c r="L1830" s="13">
        <v>18494</v>
      </c>
      <c r="M1830" s="13">
        <v>18028</v>
      </c>
      <c r="N1830" s="13">
        <v>95</v>
      </c>
      <c r="O1830" s="15"/>
      <c r="P1830" s="6">
        <v>41093.922777777778</v>
      </c>
      <c r="Q1830" s="18" t="s">
        <v>307</v>
      </c>
      <c r="R1830" s="19" t="s">
        <v>3616</v>
      </c>
      <c r="S1830" s="12" t="s">
        <v>3617</v>
      </c>
      <c r="T1830" s="11"/>
      <c r="U1830" s="10" t="str">
        <f>HYPERLINK("https://pbs.twimg.com/profile_images/2721916731/2cb0add7045b90655de1e522d1ae4057.jpeg","View")</f>
        <v>View</v>
      </c>
    </row>
    <row r="1831" spans="1:21" ht="51">
      <c r="A1831" s="6">
        <v>43441.044409722221</v>
      </c>
      <c r="B1831" s="7" t="str">
        <f>HYPERLINK("https://twitter.com/anguestar","@anguestar")</f>
        <v>@anguestar</v>
      </c>
      <c r="C1831" s="8" t="s">
        <v>6756</v>
      </c>
      <c r="D1831" s="9" t="s">
        <v>6757</v>
      </c>
      <c r="E1831" s="10" t="str">
        <f>HYPERLINK("https://twitter.com/anguestar/status/1070831241241522177","1070831241241522177")</f>
        <v>1070831241241522177</v>
      </c>
      <c r="F1831" s="11"/>
      <c r="G1831" s="11"/>
      <c r="H1831" s="11"/>
      <c r="I1831" s="13">
        <v>0</v>
      </c>
      <c r="J1831" s="13">
        <v>1</v>
      </c>
      <c r="K1831" s="14" t="str">
        <f t="shared" ref="K1831:K1832" si="312">HYPERLINK("http://twitter.com","Twitter Web Client")</f>
        <v>Twitter Web Client</v>
      </c>
      <c r="L1831" s="13">
        <v>605</v>
      </c>
      <c r="M1831" s="13">
        <v>788</v>
      </c>
      <c r="N1831" s="13">
        <v>0</v>
      </c>
      <c r="O1831" s="15"/>
      <c r="P1831" s="6">
        <v>40169.819293981483</v>
      </c>
      <c r="Q1831" s="11"/>
      <c r="R1831" s="17"/>
      <c r="S1831" s="11"/>
      <c r="T1831" s="11"/>
      <c r="U1831" s="10" t="str">
        <f>HYPERLINK("https://pbs.twimg.com/profile_images/834186483137404928/F_WgPttZ.jpg","View")</f>
        <v>View</v>
      </c>
    </row>
    <row r="1832" spans="1:21" ht="40.799999999999997">
      <c r="A1832" s="6">
        <v>43441.043715277774</v>
      </c>
      <c r="B1832" s="7" t="str">
        <f>HYPERLINK("https://twitter.com/ElAngelFacha","@ElAngelFacha")</f>
        <v>@ElAngelFacha</v>
      </c>
      <c r="C1832" s="8" t="s">
        <v>1970</v>
      </c>
      <c r="D1832" s="9" t="s">
        <v>3619</v>
      </c>
      <c r="E1832" s="10" t="str">
        <f>HYPERLINK("https://twitter.com/ElAngelFacha/status/1070830990136918018","1070830990136918018")</f>
        <v>1070830990136918018</v>
      </c>
      <c r="F1832" s="12" t="s">
        <v>3621</v>
      </c>
      <c r="G1832" s="11"/>
      <c r="H1832" s="11"/>
      <c r="I1832" s="13">
        <v>24</v>
      </c>
      <c r="J1832" s="13">
        <v>13</v>
      </c>
      <c r="K1832" s="14" t="str">
        <f t="shared" si="312"/>
        <v>Twitter Web Client</v>
      </c>
      <c r="L1832" s="13">
        <v>1472</v>
      </c>
      <c r="M1832" s="13">
        <v>2059</v>
      </c>
      <c r="N1832" s="13">
        <v>4</v>
      </c>
      <c r="O1832" s="15"/>
      <c r="P1832" s="6">
        <v>42923.928784722222</v>
      </c>
      <c r="Q1832" s="18" t="s">
        <v>1973</v>
      </c>
      <c r="R1832" s="19" t="s">
        <v>1974</v>
      </c>
      <c r="S1832" s="11"/>
      <c r="T1832" s="11"/>
      <c r="U1832" s="10" t="str">
        <f>HYPERLINK("https://pbs.twimg.com/profile_images/1068670609935208450/c84QvuV4.jpg","View")</f>
        <v>View</v>
      </c>
    </row>
    <row r="1833" spans="1:21" ht="51">
      <c r="A1833" s="6">
        <v>43441.042337962965</v>
      </c>
      <c r="B1833" s="7" t="str">
        <f>HYPERLINK("https://twitter.com/Puppetbet","@Puppetbet")</f>
        <v>@Puppetbet</v>
      </c>
      <c r="C1833" s="8" t="s">
        <v>6758</v>
      </c>
      <c r="D1833" s="9" t="s">
        <v>6759</v>
      </c>
      <c r="E1833" s="10" t="str">
        <f>HYPERLINK("https://twitter.com/Puppetbet/status/1070830490763042816","1070830490763042816")</f>
        <v>1070830490763042816</v>
      </c>
      <c r="F1833" s="11"/>
      <c r="G1833" s="11"/>
      <c r="H1833" s="11"/>
      <c r="I1833" s="13">
        <v>0</v>
      </c>
      <c r="J1833" s="13">
        <v>0</v>
      </c>
      <c r="K1833" s="14" t="str">
        <f>HYPERLINK("http://twitter.com/download/android","Twitter for Android")</f>
        <v>Twitter for Android</v>
      </c>
      <c r="L1833" s="13">
        <v>408</v>
      </c>
      <c r="M1833" s="13">
        <v>371</v>
      </c>
      <c r="N1833" s="13">
        <v>4</v>
      </c>
      <c r="O1833" s="15"/>
      <c r="P1833" s="6">
        <v>42123.974282407406</v>
      </c>
      <c r="Q1833" s="11"/>
      <c r="R1833" s="19" t="s">
        <v>6760</v>
      </c>
      <c r="S1833" s="11"/>
      <c r="T1833" s="11"/>
      <c r="U1833" s="10" t="str">
        <f>HYPERLINK("https://pbs.twimg.com/profile_images/595625167197511680/L_-FG7Es.jpg","View")</f>
        <v>View</v>
      </c>
    </row>
    <row r="1834" spans="1:21" ht="40.799999999999997">
      <c r="A1834" s="6">
        <v>43441.042118055557</v>
      </c>
      <c r="B1834" s="7" t="str">
        <f>HYPERLINK("https://twitter.com/Campocas","@Campocas")</f>
        <v>@Campocas</v>
      </c>
      <c r="C1834" s="8" t="s">
        <v>3624</v>
      </c>
      <c r="D1834" s="9" t="s">
        <v>3625</v>
      </c>
      <c r="E1834" s="10" t="str">
        <f>HYPERLINK("https://twitter.com/Campocas/status/1070830410882605056","1070830410882605056")</f>
        <v>1070830410882605056</v>
      </c>
      <c r="F1834" s="11"/>
      <c r="G1834" s="11"/>
      <c r="H1834" s="11"/>
      <c r="I1834" s="13">
        <v>0</v>
      </c>
      <c r="J1834" s="13">
        <v>0</v>
      </c>
      <c r="K1834" s="14" t="str">
        <f>HYPERLINK("http://twitter.com","Twitter Web Client")</f>
        <v>Twitter Web Client</v>
      </c>
      <c r="L1834" s="13">
        <v>219</v>
      </c>
      <c r="M1834" s="13">
        <v>102</v>
      </c>
      <c r="N1834" s="13">
        <v>2</v>
      </c>
      <c r="O1834" s="15"/>
      <c r="P1834" s="6">
        <v>40736.777615740742</v>
      </c>
      <c r="Q1834" s="18" t="s">
        <v>3628</v>
      </c>
      <c r="R1834" s="19" t="s">
        <v>3629</v>
      </c>
      <c r="S1834" s="11"/>
      <c r="T1834" s="11"/>
      <c r="U1834" s="10" t="str">
        <f>HYPERLINK("https://pbs.twimg.com/profile_images/774266866441289728/1EZ_yoYR.jpg","View")</f>
        <v>View</v>
      </c>
    </row>
    <row r="1835" spans="1:21" ht="20.399999999999999">
      <c r="A1835" s="6">
        <v>43441.041666666672</v>
      </c>
      <c r="B1835" s="7" t="str">
        <f>HYPERLINK("https://twitter.com/eldiarioes","@eldiarioes")</f>
        <v>@eldiarioes</v>
      </c>
      <c r="C1835" s="22" t="s">
        <v>6761</v>
      </c>
      <c r="D1835" s="9" t="s">
        <v>6340</v>
      </c>
      <c r="E1835" s="10" t="str">
        <f>HYPERLINK("https://twitter.com/eldiarioes/status/1070830246583123969","1070830246583123969")</f>
        <v>1070830246583123969</v>
      </c>
      <c r="F1835" s="12" t="s">
        <v>2673</v>
      </c>
      <c r="G1835" s="12" t="s">
        <v>6762</v>
      </c>
      <c r="H1835" s="11"/>
      <c r="I1835" s="13">
        <v>6</v>
      </c>
      <c r="J1835" s="13">
        <v>20</v>
      </c>
      <c r="K1835" s="14" t="str">
        <f>HYPERLINK("https://about.twitter.com/products/tweetdeck","TweetDeck")</f>
        <v>TweetDeck</v>
      </c>
      <c r="L1835" s="13">
        <v>940165</v>
      </c>
      <c r="M1835" s="13">
        <v>456</v>
      </c>
      <c r="N1835" s="13">
        <v>11261</v>
      </c>
      <c r="O1835" s="16" t="s">
        <v>25</v>
      </c>
      <c r="P1835" s="6">
        <v>40992.839189814811</v>
      </c>
      <c r="Q1835" s="11"/>
      <c r="R1835" s="19" t="s">
        <v>6763</v>
      </c>
      <c r="S1835" s="12" t="s">
        <v>6764</v>
      </c>
      <c r="T1835" s="11"/>
      <c r="U1835" s="10" t="str">
        <f>HYPERLINK("https://pbs.twimg.com/profile_images/1016600645292511232/eYIkIK2s.jpg","View")</f>
        <v>View</v>
      </c>
    </row>
    <row r="1836" spans="1:21" ht="40.799999999999997">
      <c r="A1836" s="6">
        <v>43441.041631944448</v>
      </c>
      <c r="B1836" s="7" t="str">
        <f>HYPERLINK("https://twitter.com/ToniTerminator","@ToniTerminator")</f>
        <v>@ToniTerminator</v>
      </c>
      <c r="C1836" s="8" t="s">
        <v>6765</v>
      </c>
      <c r="D1836" s="9" t="s">
        <v>6766</v>
      </c>
      <c r="E1836" s="10" t="str">
        <f>HYPERLINK("https://twitter.com/ToniTerminator/status/1070830234939858946","1070830234939858946")</f>
        <v>1070830234939858946</v>
      </c>
      <c r="F1836" s="12" t="s">
        <v>6767</v>
      </c>
      <c r="G1836" s="11"/>
      <c r="H1836" s="11"/>
      <c r="I1836" s="13">
        <v>0</v>
      </c>
      <c r="J1836" s="13">
        <v>0</v>
      </c>
      <c r="K1836" s="14" t="str">
        <f t="shared" ref="K1836:K1838" si="313">HYPERLINK("http://twitter.com/download/android","Twitter for Android")</f>
        <v>Twitter for Android</v>
      </c>
      <c r="L1836" s="13">
        <v>1293</v>
      </c>
      <c r="M1836" s="13">
        <v>982</v>
      </c>
      <c r="N1836" s="13">
        <v>18</v>
      </c>
      <c r="O1836" s="15"/>
      <c r="P1836" s="6">
        <v>40339.928726851853</v>
      </c>
      <c r="Q1836" s="11"/>
      <c r="R1836" s="19" t="s">
        <v>6768</v>
      </c>
      <c r="S1836" s="11"/>
      <c r="T1836" s="11"/>
      <c r="U1836" s="10" t="str">
        <f>HYPERLINK("https://pbs.twimg.com/profile_images/1026155942835089408/DUfkCwe5.jpg","View")</f>
        <v>View</v>
      </c>
    </row>
    <row r="1837" spans="1:21" ht="40.799999999999997">
      <c r="A1837" s="6">
        <v>43441.041469907403</v>
      </c>
      <c r="B1837" s="7" t="str">
        <f>HYPERLINK("https://twitter.com/M_Gonzalez1963","@M_Gonzalez1963")</f>
        <v>@M_Gonzalez1963</v>
      </c>
      <c r="C1837" s="8" t="s">
        <v>6769</v>
      </c>
      <c r="D1837" s="9" t="s">
        <v>6770</v>
      </c>
      <c r="E1837" s="10" t="str">
        <f>HYPERLINK("https://twitter.com/M_Gonzalez1963/status/1070830175523344385","1070830175523344385")</f>
        <v>1070830175523344385</v>
      </c>
      <c r="F1837" s="11"/>
      <c r="G1837" s="11"/>
      <c r="H1837" s="11"/>
      <c r="I1837" s="13">
        <v>0</v>
      </c>
      <c r="J1837" s="13">
        <v>0</v>
      </c>
      <c r="K1837" s="14" t="str">
        <f t="shared" si="313"/>
        <v>Twitter for Android</v>
      </c>
      <c r="L1837" s="13">
        <v>79</v>
      </c>
      <c r="M1837" s="13">
        <v>90</v>
      </c>
      <c r="N1837" s="13">
        <v>4</v>
      </c>
      <c r="O1837" s="15"/>
      <c r="P1837" s="6">
        <v>41178.376307870371</v>
      </c>
      <c r="Q1837" s="11"/>
      <c r="R1837" s="17"/>
      <c r="S1837" s="11"/>
      <c r="T1837" s="11"/>
      <c r="U1837" s="10" t="str">
        <f>HYPERLINK("https://pbs.twimg.com/profile_images/463256558089289728/CApyyDQA.jpeg","View")</f>
        <v>View</v>
      </c>
    </row>
    <row r="1838" spans="1:21" ht="51">
      <c r="A1838" s="6">
        <v>43441.041435185187</v>
      </c>
      <c r="B1838" s="7" t="str">
        <f>HYPERLINK("https://twitter.com/ovidiosumez","@ovidiosumez")</f>
        <v>@ovidiosumez</v>
      </c>
      <c r="C1838" s="8" t="s">
        <v>3631</v>
      </c>
      <c r="D1838" s="9" t="s">
        <v>3632</v>
      </c>
      <c r="E1838" s="10" t="str">
        <f>HYPERLINK("https://twitter.com/ovidiosumez/status/1070830164756652033","1070830164756652033")</f>
        <v>1070830164756652033</v>
      </c>
      <c r="F1838" s="11"/>
      <c r="G1838" s="11"/>
      <c r="H1838" s="11"/>
      <c r="I1838" s="13">
        <v>0</v>
      </c>
      <c r="J1838" s="13">
        <v>0</v>
      </c>
      <c r="K1838" s="14" t="str">
        <f t="shared" si="313"/>
        <v>Twitter for Android</v>
      </c>
      <c r="L1838" s="13">
        <v>6</v>
      </c>
      <c r="M1838" s="13">
        <v>54</v>
      </c>
      <c r="N1838" s="13">
        <v>0</v>
      </c>
      <c r="O1838" s="15"/>
      <c r="P1838" s="6">
        <v>41788.055150462962</v>
      </c>
      <c r="Q1838" s="11"/>
      <c r="R1838" s="17"/>
      <c r="S1838" s="11"/>
      <c r="T1838" s="11"/>
      <c r="U1838" s="10" t="str">
        <f>HYPERLINK("https://pbs.twimg.com/profile_images/918754157560868864/YcrY7_FC.jpg","View")</f>
        <v>View</v>
      </c>
    </row>
    <row r="1839" spans="1:21" ht="20.399999999999999">
      <c r="A1839" s="6">
        <v>43441.041030092594</v>
      </c>
      <c r="B1839" s="7" t="str">
        <f>HYPERLINK("https://twitter.com/NoticiasVenezue","@NoticiasVenezue")</f>
        <v>@NoticiasVenezue</v>
      </c>
      <c r="C1839" s="8" t="s">
        <v>6656</v>
      </c>
      <c r="D1839" s="9" t="s">
        <v>6657</v>
      </c>
      <c r="E1839" s="10" t="str">
        <f>HYPERLINK("https://twitter.com/NoticiasVenezue/status/1070830014856421379","1070830014856421379")</f>
        <v>1070830014856421379</v>
      </c>
      <c r="F1839" s="12" t="s">
        <v>6771</v>
      </c>
      <c r="G1839" s="12" t="s">
        <v>6772</v>
      </c>
      <c r="H1839" s="11"/>
      <c r="I1839" s="13">
        <v>1</v>
      </c>
      <c r="J1839" s="13">
        <v>0</v>
      </c>
      <c r="K1839" s="14" t="str">
        <f>HYPERLINK("http://noticiasvenezuela.org/","Noticiasvenezuela.org")</f>
        <v>Noticiasvenezuela.org</v>
      </c>
      <c r="L1839" s="13">
        <v>849965</v>
      </c>
      <c r="M1839" s="13">
        <v>107845</v>
      </c>
      <c r="N1839" s="13">
        <v>4005</v>
      </c>
      <c r="O1839" s="16" t="s">
        <v>25</v>
      </c>
      <c r="P1839" s="6">
        <v>39960.368576388893</v>
      </c>
      <c r="Q1839" s="18" t="s">
        <v>204</v>
      </c>
      <c r="R1839" s="19" t="s">
        <v>6660</v>
      </c>
      <c r="S1839" s="12" t="s">
        <v>6661</v>
      </c>
      <c r="T1839" s="11"/>
      <c r="U1839" s="10" t="str">
        <f>HYPERLINK("https://pbs.twimg.com/profile_images/1051102549061849088/xDOWgbtI.jpg","View")</f>
        <v>View</v>
      </c>
    </row>
    <row r="1840" spans="1:21" ht="20.399999999999999">
      <c r="A1840" s="6">
        <v>43441.039537037039</v>
      </c>
      <c r="B1840" s="7" t="str">
        <f>HYPERLINK("https://twitter.com/TONIFERRE635","@TONIFERRE635")</f>
        <v>@TONIFERRE635</v>
      </c>
      <c r="C1840" s="8" t="s">
        <v>4315</v>
      </c>
      <c r="D1840" s="9" t="s">
        <v>2160</v>
      </c>
      <c r="E1840" s="10" t="str">
        <f>HYPERLINK("https://twitter.com/TONIFERRE635/status/1070829476777463808","1070829476777463808")</f>
        <v>1070829476777463808</v>
      </c>
      <c r="F1840" s="12" t="s">
        <v>2161</v>
      </c>
      <c r="G1840" s="11"/>
      <c r="H1840" s="11"/>
      <c r="I1840" s="13">
        <v>0</v>
      </c>
      <c r="J1840" s="13">
        <v>0</v>
      </c>
      <c r="K1840" s="14" t="str">
        <f>HYPERLINK("http://twitter.com","Twitter Web Client")</f>
        <v>Twitter Web Client</v>
      </c>
      <c r="L1840" s="13">
        <v>149</v>
      </c>
      <c r="M1840" s="13">
        <v>426</v>
      </c>
      <c r="N1840" s="13">
        <v>0</v>
      </c>
      <c r="O1840" s="15"/>
      <c r="P1840" s="6">
        <v>41290.008020833331</v>
      </c>
      <c r="Q1840" s="11"/>
      <c r="R1840" s="19" t="s">
        <v>4320</v>
      </c>
      <c r="S1840" s="11"/>
      <c r="T1840" s="11"/>
      <c r="U1840" s="10" t="str">
        <f>HYPERLINK("https://pbs.twimg.com/profile_images/1066622810351652864/3YLja2Ve.jpg","View")</f>
        <v>View</v>
      </c>
    </row>
    <row r="1841" spans="1:21" ht="20.399999999999999">
      <c r="A1841" s="6">
        <v>43441.038124999999</v>
      </c>
      <c r="B1841" s="7" t="str">
        <f>HYPERLINK("https://twitter.com/svqcity","@svqcity")</f>
        <v>@svqcity</v>
      </c>
      <c r="C1841" s="8" t="s">
        <v>6773</v>
      </c>
      <c r="D1841" s="9" t="s">
        <v>6774</v>
      </c>
      <c r="E1841" s="10" t="str">
        <f>HYPERLINK("https://twitter.com/svqcity/status/1070828962673319937","1070828962673319937")</f>
        <v>1070828962673319937</v>
      </c>
      <c r="F1841" s="11"/>
      <c r="G1841" s="11"/>
      <c r="H1841" s="11"/>
      <c r="I1841" s="13">
        <v>0</v>
      </c>
      <c r="J1841" s="13">
        <v>0</v>
      </c>
      <c r="K1841" s="14" t="str">
        <f>HYPERLINK("http://twitter.com/download/android","Twitter for Android")</f>
        <v>Twitter for Android</v>
      </c>
      <c r="L1841" s="13">
        <v>805</v>
      </c>
      <c r="M1841" s="13">
        <v>130</v>
      </c>
      <c r="N1841" s="13">
        <v>49</v>
      </c>
      <c r="O1841" s="15"/>
      <c r="P1841" s="6">
        <v>40488.707233796296</v>
      </c>
      <c r="Q1841" s="18" t="s">
        <v>404</v>
      </c>
      <c r="R1841" s="19" t="s">
        <v>6775</v>
      </c>
      <c r="S1841" s="12" t="s">
        <v>6776</v>
      </c>
      <c r="T1841" s="11"/>
      <c r="U1841" s="10" t="str">
        <f>HYPERLINK("https://pbs.twimg.com/profile_images/894243425654124544/KM9voRHe.jpg","View")</f>
        <v>View</v>
      </c>
    </row>
    <row r="1842" spans="1:21" ht="51">
      <c r="A1842" s="6">
        <v>43441.037951388891</v>
      </c>
      <c r="B1842" s="7" t="str">
        <f>HYPERLINK("https://twitter.com/jvmendezdeleon","@jvmendezdeleon")</f>
        <v>@jvmendezdeleon</v>
      </c>
      <c r="C1842" s="8" t="s">
        <v>3634</v>
      </c>
      <c r="D1842" s="9" t="s">
        <v>3636</v>
      </c>
      <c r="E1842" s="10" t="str">
        <f>HYPERLINK("https://twitter.com/jvmendezdeleon/status/1070828898546536448","1070828898546536448")</f>
        <v>1070828898546536448</v>
      </c>
      <c r="F1842" s="12" t="s">
        <v>1512</v>
      </c>
      <c r="G1842" s="11"/>
      <c r="H1842" s="11"/>
      <c r="I1842" s="13">
        <v>8</v>
      </c>
      <c r="J1842" s="13">
        <v>8</v>
      </c>
      <c r="K1842" s="14" t="str">
        <f>HYPERLINK("http://twitter.com","Twitter Web Client")</f>
        <v>Twitter Web Client</v>
      </c>
      <c r="L1842" s="13">
        <v>5300</v>
      </c>
      <c r="M1842" s="13">
        <v>4492</v>
      </c>
      <c r="N1842" s="13">
        <v>97</v>
      </c>
      <c r="O1842" s="15"/>
      <c r="P1842" s="6">
        <v>40351.503310185188</v>
      </c>
      <c r="Q1842" s="18" t="s">
        <v>3637</v>
      </c>
      <c r="R1842" s="19" t="s">
        <v>3638</v>
      </c>
      <c r="S1842" s="12" t="s">
        <v>3639</v>
      </c>
      <c r="T1842" s="11"/>
      <c r="U1842" s="10" t="str">
        <f>HYPERLINK("https://pbs.twimg.com/profile_images/1071149868033433600/8_FWoyRE.jpg","View")</f>
        <v>View</v>
      </c>
    </row>
    <row r="1843" spans="1:21" ht="71.400000000000006">
      <c r="A1843" s="6">
        <v>43441.036423611113</v>
      </c>
      <c r="B1843" s="7" t="str">
        <f>HYPERLINK("https://twitter.com/roberm95","@roberm95")</f>
        <v>@roberm95</v>
      </c>
      <c r="C1843" s="8" t="s">
        <v>6777</v>
      </c>
      <c r="D1843" s="9" t="s">
        <v>6778</v>
      </c>
      <c r="E1843" s="10" t="str">
        <f>HYPERLINK("https://twitter.com/roberm95/status/1070828346026745856","1070828346026745856")</f>
        <v>1070828346026745856</v>
      </c>
      <c r="F1843" s="12" t="s">
        <v>5820</v>
      </c>
      <c r="G1843" s="12" t="s">
        <v>5821</v>
      </c>
      <c r="H1843" s="11"/>
      <c r="I1843" s="13">
        <v>0</v>
      </c>
      <c r="J1843" s="13">
        <v>0</v>
      </c>
      <c r="K1843" s="14" t="str">
        <f>HYPERLINK("http://twitter.com/download/android","Twitter for Android")</f>
        <v>Twitter for Android</v>
      </c>
      <c r="L1843" s="13">
        <v>347</v>
      </c>
      <c r="M1843" s="13">
        <v>375</v>
      </c>
      <c r="N1843" s="13">
        <v>7</v>
      </c>
      <c r="O1843" s="15"/>
      <c r="P1843" s="6">
        <v>40434.8278587963</v>
      </c>
      <c r="Q1843" s="18" t="s">
        <v>6779</v>
      </c>
      <c r="R1843" s="19" t="s">
        <v>6780</v>
      </c>
      <c r="S1843" s="11"/>
      <c r="T1843" s="11"/>
      <c r="U1843" s="10" t="str">
        <f>HYPERLINK("https://pbs.twimg.com/profile_images/1036418874806333440/XCb8c4lQ.jpg","View")</f>
        <v>View</v>
      </c>
    </row>
    <row r="1844" spans="1:21" ht="51">
      <c r="A1844" s="6">
        <v>43441.033680555556</v>
      </c>
      <c r="B1844" s="7" t="str">
        <f>HYPERLINK("https://twitter.com/jcfhornet1","@jcfhornet1")</f>
        <v>@jcfhornet1</v>
      </c>
      <c r="C1844" s="8" t="s">
        <v>3640</v>
      </c>
      <c r="D1844" s="9" t="s">
        <v>3641</v>
      </c>
      <c r="E1844" s="10" t="str">
        <f>HYPERLINK("https://twitter.com/jcfhornet1/status/1070827352136040449","1070827352136040449")</f>
        <v>1070827352136040449</v>
      </c>
      <c r="F1844" s="11"/>
      <c r="G1844" s="11"/>
      <c r="H1844" s="11"/>
      <c r="I1844" s="13">
        <v>0</v>
      </c>
      <c r="J1844" s="13">
        <v>0</v>
      </c>
      <c r="K1844" s="14" t="str">
        <f>HYPERLINK("http://twitter.com","Twitter Web Client")</f>
        <v>Twitter Web Client</v>
      </c>
      <c r="L1844" s="13">
        <v>14</v>
      </c>
      <c r="M1844" s="13">
        <v>70</v>
      </c>
      <c r="N1844" s="13">
        <v>0</v>
      </c>
      <c r="O1844" s="15"/>
      <c r="P1844" s="6">
        <v>42144.755439814813</v>
      </c>
      <c r="Q1844" s="11"/>
      <c r="R1844" s="17"/>
      <c r="S1844" s="11"/>
      <c r="T1844" s="11"/>
      <c r="U1844" s="10" t="str">
        <f>HYPERLINK("https://pbs.twimg.com/profile_images/601059001640574977/a-qaPk9n.jpg","View")</f>
        <v>View</v>
      </c>
    </row>
    <row r="1845" spans="1:21" ht="51">
      <c r="A1845" s="6">
        <v>43441.032569444447</v>
      </c>
      <c r="B1845" s="7" t="str">
        <f>HYPERLINK("https://twitter.com/yh5ijortkvlfbri","@yh5ijortkvlfbri")</f>
        <v>@yh5ijortkvlfbri</v>
      </c>
      <c r="C1845" s="8" t="s">
        <v>3548</v>
      </c>
      <c r="D1845" s="9" t="s">
        <v>3643</v>
      </c>
      <c r="E1845" s="10" t="str">
        <f>HYPERLINK("https://twitter.com/yh5ijortkvlfbri/status/1070826948572733440","1070826948572733440")</f>
        <v>1070826948572733440</v>
      </c>
      <c r="F1845" s="11"/>
      <c r="G1845" s="11"/>
      <c r="H1845" s="11"/>
      <c r="I1845" s="13">
        <v>0</v>
      </c>
      <c r="J1845" s="13">
        <v>2</v>
      </c>
      <c r="K1845" s="14" t="str">
        <f t="shared" ref="K1845:K1846" si="314">HYPERLINK("http://twitter.com/download/iphone","Twitter for iPhone")</f>
        <v>Twitter for iPhone</v>
      </c>
      <c r="L1845" s="13">
        <v>60</v>
      </c>
      <c r="M1845" s="13">
        <v>128</v>
      </c>
      <c r="N1845" s="13">
        <v>0</v>
      </c>
      <c r="O1845" s="15"/>
      <c r="P1845" s="6">
        <v>42934.135312500002</v>
      </c>
      <c r="Q1845" s="18" t="s">
        <v>2394</v>
      </c>
      <c r="R1845" s="19" t="s">
        <v>3550</v>
      </c>
      <c r="S1845" s="11"/>
      <c r="T1845" s="11"/>
      <c r="U1845" s="10" t="str">
        <f>HYPERLINK("https://pbs.twimg.com/profile_images/1019176965734060033/7ATb3Db3.jpg","View")</f>
        <v>View</v>
      </c>
    </row>
    <row r="1846" spans="1:21" ht="40.799999999999997">
      <c r="A1846" s="6">
        <v>43441.032233796301</v>
      </c>
      <c r="B1846" s="7" t="str">
        <f>HYPERLINK("https://twitter.com/jlxerrano","@jlxerrano")</f>
        <v>@jlxerrano</v>
      </c>
      <c r="C1846" s="8" t="s">
        <v>6781</v>
      </c>
      <c r="D1846" s="9" t="s">
        <v>6782</v>
      </c>
      <c r="E1846" s="10" t="str">
        <f>HYPERLINK("https://twitter.com/jlxerrano/status/1070826826170277889","1070826826170277889")</f>
        <v>1070826826170277889</v>
      </c>
      <c r="F1846" s="12" t="s">
        <v>6783</v>
      </c>
      <c r="G1846" s="11"/>
      <c r="H1846" s="11"/>
      <c r="I1846" s="13">
        <v>0</v>
      </c>
      <c r="J1846" s="13">
        <v>0</v>
      </c>
      <c r="K1846" s="14" t="str">
        <f t="shared" si="314"/>
        <v>Twitter for iPhone</v>
      </c>
      <c r="L1846" s="13">
        <v>230</v>
      </c>
      <c r="M1846" s="13">
        <v>368</v>
      </c>
      <c r="N1846" s="13">
        <v>1</v>
      </c>
      <c r="O1846" s="15"/>
      <c r="P1846" s="6">
        <v>42840.768831018519</v>
      </c>
      <c r="Q1846" s="18" t="s">
        <v>6784</v>
      </c>
      <c r="R1846" s="19" t="s">
        <v>6785</v>
      </c>
      <c r="S1846" s="11"/>
      <c r="T1846" s="11"/>
      <c r="U1846" s="10" t="str">
        <f>HYPERLINK("https://pbs.twimg.com/profile_images/1035527255215099905/2USJVAFA.jpg","View")</f>
        <v>View</v>
      </c>
    </row>
    <row r="1847" spans="1:21" ht="30.6">
      <c r="A1847" s="6">
        <v>43441.030370370368</v>
      </c>
      <c r="B1847" s="7" t="str">
        <f>HYPERLINK("https://twitter.com/Britovius","@Britovius")</f>
        <v>@Britovius</v>
      </c>
      <c r="C1847" s="8" t="s">
        <v>6786</v>
      </c>
      <c r="D1847" s="9" t="s">
        <v>6787</v>
      </c>
      <c r="E1847" s="10" t="str">
        <f>HYPERLINK("https://twitter.com/Britovius/status/1070826154800623622","1070826154800623622")</f>
        <v>1070826154800623622</v>
      </c>
      <c r="F1847" s="12" t="s">
        <v>6664</v>
      </c>
      <c r="G1847" s="11"/>
      <c r="H1847" s="11"/>
      <c r="I1847" s="13">
        <v>0</v>
      </c>
      <c r="J1847" s="13">
        <v>0</v>
      </c>
      <c r="K1847" s="14" t="str">
        <f>HYPERLINK("http://twitter.com","Twitter Web Client")</f>
        <v>Twitter Web Client</v>
      </c>
      <c r="L1847" s="13">
        <v>1445</v>
      </c>
      <c r="M1847" s="13">
        <v>1856</v>
      </c>
      <c r="N1847" s="13">
        <v>27</v>
      </c>
      <c r="O1847" s="15"/>
      <c r="P1847" s="6">
        <v>40521.057905092595</v>
      </c>
      <c r="Q1847" s="18" t="s">
        <v>6788</v>
      </c>
      <c r="R1847" s="19" t="s">
        <v>6789</v>
      </c>
      <c r="S1847" s="11"/>
      <c r="T1847" s="11"/>
      <c r="U1847" s="10" t="str">
        <f>HYPERLINK("https://pbs.twimg.com/profile_images/914594907049873408/B029HcZM.jpg","View")</f>
        <v>View</v>
      </c>
    </row>
    <row r="1848" spans="1:21" ht="30.6">
      <c r="A1848" s="6">
        <v>43441.028865740736</v>
      </c>
      <c r="B1848" s="7" t="str">
        <f>HYPERLINK("https://twitter.com/FroilLannister","@FroilLannister")</f>
        <v>@FroilLannister</v>
      </c>
      <c r="C1848" s="8" t="s">
        <v>6790</v>
      </c>
      <c r="D1848" s="9" t="s">
        <v>6791</v>
      </c>
      <c r="E1848" s="10" t="str">
        <f>HYPERLINK("https://twitter.com/FroilLannister/status/1070825608723251201","1070825608723251201")</f>
        <v>1070825608723251201</v>
      </c>
      <c r="F1848" s="11"/>
      <c r="G1848" s="12" t="s">
        <v>6792</v>
      </c>
      <c r="H1848" s="11"/>
      <c r="I1848" s="13">
        <v>23</v>
      </c>
      <c r="J1848" s="13">
        <v>72</v>
      </c>
      <c r="K1848" s="14" t="str">
        <f>HYPERLINK("http://twitter.com/download/iphone","Twitter for iPhone")</f>
        <v>Twitter for iPhone</v>
      </c>
      <c r="L1848" s="13">
        <v>35546</v>
      </c>
      <c r="M1848" s="13">
        <v>368</v>
      </c>
      <c r="N1848" s="13">
        <v>257</v>
      </c>
      <c r="O1848" s="15"/>
      <c r="P1848" s="6">
        <v>40022.456111111111</v>
      </c>
      <c r="Q1848" s="18" t="s">
        <v>42</v>
      </c>
      <c r="R1848" s="19" t="s">
        <v>6793</v>
      </c>
      <c r="S1848" s="12" t="s">
        <v>6794</v>
      </c>
      <c r="T1848" s="11"/>
      <c r="U1848" s="10" t="str">
        <f>HYPERLINK("https://pbs.twimg.com/profile_images/956967811280236544/O95sSr-k.jpg","View")</f>
        <v>View</v>
      </c>
    </row>
    <row r="1849" spans="1:21" ht="112.2">
      <c r="A1849" s="6">
        <v>43441.028124999997</v>
      </c>
      <c r="B1849" s="7" t="str">
        <f>HYPERLINK("https://twitter.com/SrtaChinaski","@SrtaChinaski")</f>
        <v>@SrtaChinaski</v>
      </c>
      <c r="C1849" s="8" t="s">
        <v>3645</v>
      </c>
      <c r="D1849" s="9" t="s">
        <v>3646</v>
      </c>
      <c r="E1849" s="10" t="str">
        <f>HYPERLINK("https://twitter.com/SrtaChinaski/status/1070825338454839296","1070825338454839296")</f>
        <v>1070825338454839296</v>
      </c>
      <c r="F1849" s="12" t="s">
        <v>1662</v>
      </c>
      <c r="G1849" s="12" t="s">
        <v>1663</v>
      </c>
      <c r="H1849" s="11"/>
      <c r="I1849" s="13">
        <v>1</v>
      </c>
      <c r="J1849" s="13">
        <v>2</v>
      </c>
      <c r="K1849" s="14" t="str">
        <f>HYPERLINK("http://twitter.com/download/android","Twitter for Android")</f>
        <v>Twitter for Android</v>
      </c>
      <c r="L1849" s="13">
        <v>8395</v>
      </c>
      <c r="M1849" s="13">
        <v>336</v>
      </c>
      <c r="N1849" s="13">
        <v>131</v>
      </c>
      <c r="O1849" s="15"/>
      <c r="P1849" s="6">
        <v>41484.08792824074</v>
      </c>
      <c r="Q1849" s="18" t="s">
        <v>3647</v>
      </c>
      <c r="R1849" s="19" t="s">
        <v>3648</v>
      </c>
      <c r="S1849" s="12" t="s">
        <v>3649</v>
      </c>
      <c r="T1849" s="11"/>
      <c r="U1849" s="10" t="str">
        <f>HYPERLINK("https://pbs.twimg.com/profile_images/995864280321884161/rvgCGa1K.jpg","View")</f>
        <v>View</v>
      </c>
    </row>
    <row r="1850" spans="1:21" ht="81.599999999999994">
      <c r="A1850" s="6">
        <v>43441.026736111111</v>
      </c>
      <c r="B1850" s="7" t="str">
        <f>HYPERLINK("https://twitter.com/espainiakobeldu","@espainiakobeldu")</f>
        <v>@espainiakobeldu</v>
      </c>
      <c r="C1850" s="8" t="s">
        <v>3242</v>
      </c>
      <c r="D1850" s="9" t="s">
        <v>3652</v>
      </c>
      <c r="E1850" s="10" t="str">
        <f>HYPERLINK("https://twitter.com/espainiakobeldu/status/1070824834458882049","1070824834458882049")</f>
        <v>1070824834458882049</v>
      </c>
      <c r="F1850" s="12" t="s">
        <v>2975</v>
      </c>
      <c r="G1850" s="12" t="s">
        <v>499</v>
      </c>
      <c r="H1850" s="11"/>
      <c r="I1850" s="13">
        <v>0</v>
      </c>
      <c r="J1850" s="13">
        <v>0</v>
      </c>
      <c r="K1850" s="14" t="str">
        <f>HYPERLINK("http://twitter.com/download/iphone","Twitter for iPhone")</f>
        <v>Twitter for iPhone</v>
      </c>
      <c r="L1850" s="13">
        <v>478</v>
      </c>
      <c r="M1850" s="13">
        <v>876</v>
      </c>
      <c r="N1850" s="13">
        <v>0</v>
      </c>
      <c r="O1850" s="15"/>
      <c r="P1850" s="6">
        <v>43338.070520833338</v>
      </c>
      <c r="Q1850" s="18" t="s">
        <v>42</v>
      </c>
      <c r="R1850" s="19" t="s">
        <v>3247</v>
      </c>
      <c r="S1850" s="11"/>
      <c r="T1850" s="11"/>
      <c r="U1850" s="10" t="str">
        <f>HYPERLINK("https://pbs.twimg.com/profile_images/1034820060966281217/hzUW9nV0.jpg","View")</f>
        <v>View</v>
      </c>
    </row>
    <row r="1851" spans="1:21" ht="81.599999999999994">
      <c r="A1851" s="6">
        <v>43441.02643518518</v>
      </c>
      <c r="B1851" s="7" t="str">
        <f>HYPERLINK("https://twitter.com/quercineo_","@quercineo_")</f>
        <v>@quercineo_</v>
      </c>
      <c r="C1851" s="8" t="s">
        <v>6695</v>
      </c>
      <c r="D1851" s="9" t="s">
        <v>6795</v>
      </c>
      <c r="E1851" s="10" t="str">
        <f>HYPERLINK("https://twitter.com/quercineo_/status/1070824725616713733","1070824725616713733")</f>
        <v>1070824725616713733</v>
      </c>
      <c r="F1851" s="12" t="s">
        <v>3074</v>
      </c>
      <c r="G1851" s="12" t="s">
        <v>3075</v>
      </c>
      <c r="H1851" s="11"/>
      <c r="I1851" s="13">
        <v>2</v>
      </c>
      <c r="J1851" s="13">
        <v>5</v>
      </c>
      <c r="K1851" s="14" t="str">
        <f>HYPERLINK("http://twitter.com/download/android","Twitter for Android")</f>
        <v>Twitter for Android</v>
      </c>
      <c r="L1851" s="13">
        <v>4834</v>
      </c>
      <c r="M1851" s="13">
        <v>5289</v>
      </c>
      <c r="N1851" s="13">
        <v>48</v>
      </c>
      <c r="O1851" s="15"/>
      <c r="P1851" s="6">
        <v>41980.679861111115</v>
      </c>
      <c r="Q1851" s="11"/>
      <c r="R1851" s="19" t="s">
        <v>6699</v>
      </c>
      <c r="S1851" s="11"/>
      <c r="T1851" s="11"/>
      <c r="U1851" s="10" t="str">
        <f>HYPERLINK("https://pbs.twimg.com/profile_images/543940100087099393/sbXKJAY7.jpeg","View")</f>
        <v>View</v>
      </c>
    </row>
    <row r="1852" spans="1:21" ht="20.399999999999999">
      <c r="A1852" s="6">
        <v>43441.026296296295</v>
      </c>
      <c r="B1852" s="7" t="str">
        <f>HYPERLINK("https://twitter.com/glinares16","@glinares16")</f>
        <v>@glinares16</v>
      </c>
      <c r="C1852" s="8" t="s">
        <v>3519</v>
      </c>
      <c r="D1852" s="9" t="s">
        <v>6796</v>
      </c>
      <c r="E1852" s="10" t="str">
        <f>HYPERLINK("https://twitter.com/glinares16/status/1070824678372139010","1070824678372139010")</f>
        <v>1070824678372139010</v>
      </c>
      <c r="F1852" s="12" t="s">
        <v>3599</v>
      </c>
      <c r="G1852" s="11"/>
      <c r="H1852" s="11"/>
      <c r="I1852" s="13">
        <v>0</v>
      </c>
      <c r="J1852" s="13">
        <v>0</v>
      </c>
      <c r="K1852" s="14" t="str">
        <f>HYPERLINK("http://www.facebook.com/twitter","Facebook")</f>
        <v>Facebook</v>
      </c>
      <c r="L1852" s="13">
        <v>255</v>
      </c>
      <c r="M1852" s="13">
        <v>1089</v>
      </c>
      <c r="N1852" s="13">
        <v>0</v>
      </c>
      <c r="O1852" s="15"/>
      <c r="P1852" s="6">
        <v>41873.407800925925</v>
      </c>
      <c r="Q1852" s="11"/>
      <c r="R1852" s="17"/>
      <c r="S1852" s="11"/>
      <c r="T1852" s="11"/>
      <c r="U1852" s="16" t="s">
        <v>191</v>
      </c>
    </row>
    <row r="1853" spans="1:21" ht="40.799999999999997">
      <c r="A1853" s="6">
        <v>43441.026145833333</v>
      </c>
      <c r="B1853" s="7" t="str">
        <f>HYPERLINK("https://twitter.com/juanperdomosoto","@juanperdomosoto")</f>
        <v>@juanperdomosoto</v>
      </c>
      <c r="C1853" s="8" t="s">
        <v>3658</v>
      </c>
      <c r="D1853" s="9" t="s">
        <v>3659</v>
      </c>
      <c r="E1853" s="10" t="str">
        <f>HYPERLINK("https://twitter.com/juanperdomosoto/status/1070824622604595200","1070824622604595200")</f>
        <v>1070824622604595200</v>
      </c>
      <c r="F1853" s="11"/>
      <c r="G1853" s="12" t="s">
        <v>3660</v>
      </c>
      <c r="H1853" s="11"/>
      <c r="I1853" s="13">
        <v>4</v>
      </c>
      <c r="J1853" s="13">
        <v>7</v>
      </c>
      <c r="K1853" s="14" t="str">
        <f>HYPERLINK("http://twitter.com","Twitter Web Client")</f>
        <v>Twitter Web Client</v>
      </c>
      <c r="L1853" s="13">
        <v>899</v>
      </c>
      <c r="M1853" s="13">
        <v>324</v>
      </c>
      <c r="N1853" s="13">
        <v>12</v>
      </c>
      <c r="O1853" s="15"/>
      <c r="P1853" s="6">
        <v>42523.578182870369</v>
      </c>
      <c r="Q1853" s="18" t="s">
        <v>42</v>
      </c>
      <c r="R1853" s="19" t="s">
        <v>3663</v>
      </c>
      <c r="S1853" s="12" t="s">
        <v>3664</v>
      </c>
      <c r="T1853" s="11"/>
      <c r="U1853" s="10" t="str">
        <f>HYPERLINK("https://pbs.twimg.com/profile_images/960366406415069184/liHuFU9S.jpg","View")</f>
        <v>View</v>
      </c>
    </row>
    <row r="1854" spans="1:21" ht="20.399999999999999">
      <c r="A1854" s="6">
        <v>43441.024965277778</v>
      </c>
      <c r="B1854" s="7" t="str">
        <f>HYPERLINK("https://twitter.com/Rommel_Alarcon2","@Rommel_Alarcon2")</f>
        <v>@Rommel_Alarcon2</v>
      </c>
      <c r="C1854" s="8" t="s">
        <v>6797</v>
      </c>
      <c r="D1854" s="9" t="s">
        <v>6798</v>
      </c>
      <c r="E1854" s="10" t="str">
        <f>HYPERLINK("https://twitter.com/Rommel_Alarcon2/status/1070824192617144320","1070824192617144320")</f>
        <v>1070824192617144320</v>
      </c>
      <c r="F1854" s="12" t="s">
        <v>6799</v>
      </c>
      <c r="G1854" s="11"/>
      <c r="H1854" s="11"/>
      <c r="I1854" s="13">
        <v>0</v>
      </c>
      <c r="J1854" s="13">
        <v>0</v>
      </c>
      <c r="K1854" s="14" t="str">
        <f>HYPERLINK("https://www.google.com/","Google")</f>
        <v>Google</v>
      </c>
      <c r="L1854" s="13">
        <v>1524</v>
      </c>
      <c r="M1854" s="13">
        <v>2380</v>
      </c>
      <c r="N1854" s="13">
        <v>4</v>
      </c>
      <c r="O1854" s="15"/>
      <c r="P1854" s="6">
        <v>42779.779942129629</v>
      </c>
      <c r="Q1854" s="11"/>
      <c r="R1854" s="19" t="s">
        <v>6800</v>
      </c>
      <c r="S1854" s="11"/>
      <c r="T1854" s="11"/>
      <c r="U1854" s="10" t="str">
        <f>HYPERLINK("https://pbs.twimg.com/profile_images/831199905825841152/vwQgtQzm.jpg","View")</f>
        <v>View</v>
      </c>
    </row>
    <row r="1855" spans="1:21" ht="40.799999999999997">
      <c r="A1855" s="6">
        <v>43441.02443287037</v>
      </c>
      <c r="B1855" s="7" t="str">
        <f>HYPERLINK("https://twitter.com/Linares9Provinc","@Linares9Provinc")</f>
        <v>@Linares9Provinc</v>
      </c>
      <c r="C1855" s="8" t="s">
        <v>6801</v>
      </c>
      <c r="D1855" s="9" t="s">
        <v>6802</v>
      </c>
      <c r="E1855" s="10" t="str">
        <f>HYPERLINK("https://twitter.com/Linares9Provinc/status/1070824002959089671","1070824002959089671")</f>
        <v>1070824002959089671</v>
      </c>
      <c r="F1855" s="12" t="s">
        <v>6426</v>
      </c>
      <c r="G1855" s="11"/>
      <c r="H1855" s="11"/>
      <c r="I1855" s="13">
        <v>0</v>
      </c>
      <c r="J1855" s="13">
        <v>0</v>
      </c>
      <c r="K1855" s="14" t="str">
        <f>HYPERLINK("https://ifttt.com","IFTTT")</f>
        <v>IFTTT</v>
      </c>
      <c r="L1855" s="13">
        <v>1421</v>
      </c>
      <c r="M1855" s="13">
        <v>52</v>
      </c>
      <c r="N1855" s="13">
        <v>14</v>
      </c>
      <c r="O1855" s="15"/>
      <c r="P1855" s="6">
        <v>41064.508668981478</v>
      </c>
      <c r="Q1855" s="18" t="s">
        <v>6152</v>
      </c>
      <c r="R1855" s="19" t="s">
        <v>6803</v>
      </c>
      <c r="S1855" s="12" t="s">
        <v>6804</v>
      </c>
      <c r="T1855" s="11"/>
      <c r="U1855" s="10" t="str">
        <f>HYPERLINK("https://pbs.twimg.com/profile_images/1002683609470337024/akRKk1Wz.jpg","View")</f>
        <v>View</v>
      </c>
    </row>
    <row r="1856" spans="1:21" ht="51">
      <c r="A1856" s="6">
        <v>43441.024131944447</v>
      </c>
      <c r="B1856" s="7" t="str">
        <f>HYPERLINK("https://twitter.com/amargalazis","@amargalazis")</f>
        <v>@amargalazis</v>
      </c>
      <c r="C1856" s="8" t="s">
        <v>1580</v>
      </c>
      <c r="D1856" s="9" t="s">
        <v>6805</v>
      </c>
      <c r="E1856" s="10" t="str">
        <f>HYPERLINK("https://twitter.com/amargalazis/status/1070823891935862795","1070823891935862795")</f>
        <v>1070823891935862795</v>
      </c>
      <c r="F1856" s="12" t="s">
        <v>732</v>
      </c>
      <c r="G1856" s="11"/>
      <c r="H1856" s="11"/>
      <c r="I1856" s="13">
        <v>0</v>
      </c>
      <c r="J1856" s="13">
        <v>0</v>
      </c>
      <c r="K1856" s="14" t="str">
        <f>HYPERLINK("http://twitter.com/#!/download/ipad","Twitter for iPad")</f>
        <v>Twitter for iPad</v>
      </c>
      <c r="L1856" s="13">
        <v>251</v>
      </c>
      <c r="M1856" s="13">
        <v>266</v>
      </c>
      <c r="N1856" s="13">
        <v>0</v>
      </c>
      <c r="O1856" s="15"/>
      <c r="P1856" s="6">
        <v>43375.453587962962</v>
      </c>
      <c r="Q1856" s="11"/>
      <c r="R1856" s="19" t="s">
        <v>1584</v>
      </c>
      <c r="S1856" s="11"/>
      <c r="T1856" s="11"/>
      <c r="U1856" s="10" t="str">
        <f>HYPERLINK("https://pbs.twimg.com/profile_images/1048671570359672832/j8q3Uw5J.jpg","View")</f>
        <v>View</v>
      </c>
    </row>
    <row r="1857" spans="1:21" ht="71.400000000000006">
      <c r="A1857" s="6">
        <v>43441.023622685185</v>
      </c>
      <c r="B1857" s="7" t="str">
        <f>HYPERLINK("https://twitter.com/Suave70511209","@Suave70511209")</f>
        <v>@Suave70511209</v>
      </c>
      <c r="C1857" s="8" t="s">
        <v>5238</v>
      </c>
      <c r="D1857" s="9" t="s">
        <v>6806</v>
      </c>
      <c r="E1857" s="10" t="str">
        <f>HYPERLINK("https://twitter.com/Suave70511209/status/1070823706254036992","1070823706254036992")</f>
        <v>1070823706254036992</v>
      </c>
      <c r="F1857" s="12" t="s">
        <v>6807</v>
      </c>
      <c r="G1857" s="12" t="s">
        <v>6808</v>
      </c>
      <c r="H1857" s="11"/>
      <c r="I1857" s="13">
        <v>0</v>
      </c>
      <c r="J1857" s="13">
        <v>2</v>
      </c>
      <c r="K1857" s="14" t="str">
        <f>HYPERLINK("http://twitter.com/download/iphone","Twitter for iPhone")</f>
        <v>Twitter for iPhone</v>
      </c>
      <c r="L1857" s="13">
        <v>227</v>
      </c>
      <c r="M1857" s="13">
        <v>712</v>
      </c>
      <c r="N1857" s="13">
        <v>0</v>
      </c>
      <c r="O1857" s="15"/>
      <c r="P1857" s="6">
        <v>43273.738611111112</v>
      </c>
      <c r="Q1857" s="11"/>
      <c r="R1857" s="19" t="s">
        <v>5242</v>
      </c>
      <c r="S1857" s="11"/>
      <c r="T1857" s="11"/>
      <c r="U1857" s="10" t="str">
        <f>HYPERLINK("https://pbs.twimg.com/profile_images/1010222086424547328/YhPI8KQm.jpg","View")</f>
        <v>View</v>
      </c>
    </row>
    <row r="1858" spans="1:21" ht="40.799999999999997">
      <c r="A1858" s="6">
        <v>43441.022499999999</v>
      </c>
      <c r="B1858" s="7" t="str">
        <f>HYPERLINK("https://twitter.com/alexpuigrefagut","@alexpuigrefagut")</f>
        <v>@alexpuigrefagut</v>
      </c>
      <c r="C1858" s="8" t="s">
        <v>6809</v>
      </c>
      <c r="D1858" s="9" t="s">
        <v>6810</v>
      </c>
      <c r="E1858" s="10" t="str">
        <f>HYPERLINK("https://twitter.com/alexpuigrefagut/status/1070823299746287616","1070823299746287616")</f>
        <v>1070823299746287616</v>
      </c>
      <c r="F1858" s="11"/>
      <c r="G1858" s="12" t="s">
        <v>6811</v>
      </c>
      <c r="H1858" s="11"/>
      <c r="I1858" s="13">
        <v>0</v>
      </c>
      <c r="J1858" s="13">
        <v>1</v>
      </c>
      <c r="K1858" s="14" t="str">
        <f t="shared" ref="K1858:K1860" si="315">HYPERLINK("http://twitter.com/download/android","Twitter for Android")</f>
        <v>Twitter for Android</v>
      </c>
      <c r="L1858" s="13">
        <v>129</v>
      </c>
      <c r="M1858" s="13">
        <v>221</v>
      </c>
      <c r="N1858" s="13">
        <v>6</v>
      </c>
      <c r="O1858" s="15"/>
      <c r="P1858" s="6">
        <v>40717.740636574075</v>
      </c>
      <c r="Q1858" s="18" t="s">
        <v>6812</v>
      </c>
      <c r="R1858" s="19" t="s">
        <v>6813</v>
      </c>
      <c r="S1858" s="11"/>
      <c r="T1858" s="11"/>
      <c r="U1858" s="10" t="str">
        <f>HYPERLINK("https://pbs.twimg.com/profile_images/1005423871850434562/OsWzR1bA.jpg","View")</f>
        <v>View</v>
      </c>
    </row>
    <row r="1859" spans="1:21" ht="20.399999999999999">
      <c r="A1859" s="6">
        <v>43441.021909722222</v>
      </c>
      <c r="B1859" s="7" t="str">
        <f>HYPERLINK("https://twitter.com/defiendolomio","@defiendolomio")</f>
        <v>@defiendolomio</v>
      </c>
      <c r="C1859" s="8" t="s">
        <v>6814</v>
      </c>
      <c r="D1859" s="9" t="s">
        <v>3591</v>
      </c>
      <c r="E1859" s="10" t="str">
        <f>HYPERLINK("https://twitter.com/defiendolomio/status/1070823086516260864","1070823086516260864")</f>
        <v>1070823086516260864</v>
      </c>
      <c r="F1859" s="12" t="s">
        <v>3258</v>
      </c>
      <c r="G1859" s="11"/>
      <c r="H1859" s="11"/>
      <c r="I1859" s="13">
        <v>0</v>
      </c>
      <c r="J1859" s="13">
        <v>0</v>
      </c>
      <c r="K1859" s="14" t="str">
        <f t="shared" si="315"/>
        <v>Twitter for Android</v>
      </c>
      <c r="L1859" s="13">
        <v>1294</v>
      </c>
      <c r="M1859" s="13">
        <v>2332</v>
      </c>
      <c r="N1859" s="13">
        <v>14</v>
      </c>
      <c r="O1859" s="15"/>
      <c r="P1859" s="6">
        <v>42132.59847222222</v>
      </c>
      <c r="Q1859" s="11"/>
      <c r="R1859" s="17"/>
      <c r="S1859" s="11"/>
      <c r="T1859" s="11"/>
      <c r="U1859" s="10" t="str">
        <f>HYPERLINK("https://pbs.twimg.com/profile_images/597779511728570368/TCOAedWo.jpg","View")</f>
        <v>View</v>
      </c>
    </row>
    <row r="1860" spans="1:21" ht="71.400000000000006">
      <c r="A1860" s="6">
        <v>43441.021736111114</v>
      </c>
      <c r="B1860" s="7" t="str">
        <f>HYPERLINK("https://twitter.com/Guardaespalda10","@Guardaespalda10")</f>
        <v>@Guardaespalda10</v>
      </c>
      <c r="C1860" s="8" t="s">
        <v>3203</v>
      </c>
      <c r="D1860" s="9" t="s">
        <v>3665</v>
      </c>
      <c r="E1860" s="10" t="str">
        <f>HYPERLINK("https://twitter.com/Guardaespalda10/status/1070823022024712192","1070823022024712192")</f>
        <v>1070823022024712192</v>
      </c>
      <c r="F1860" s="12" t="s">
        <v>3606</v>
      </c>
      <c r="G1860" s="12" t="s">
        <v>3607</v>
      </c>
      <c r="H1860" s="11"/>
      <c r="I1860" s="13">
        <v>0</v>
      </c>
      <c r="J1860" s="13">
        <v>0</v>
      </c>
      <c r="K1860" s="14" t="str">
        <f t="shared" si="315"/>
        <v>Twitter for Android</v>
      </c>
      <c r="L1860" s="13">
        <v>145</v>
      </c>
      <c r="M1860" s="13">
        <v>122</v>
      </c>
      <c r="N1860" s="13">
        <v>0</v>
      </c>
      <c r="O1860" s="15"/>
      <c r="P1860" s="6">
        <v>42422.382002314815</v>
      </c>
      <c r="Q1860" s="11"/>
      <c r="R1860" s="19" t="s">
        <v>3208</v>
      </c>
      <c r="S1860" s="11"/>
      <c r="T1860" s="11"/>
      <c r="U1860" s="10" t="str">
        <f>HYPERLINK("https://pbs.twimg.com/profile_images/747429382311002116/JJfoMqW1.jpg","View")</f>
        <v>View</v>
      </c>
    </row>
    <row r="1861" spans="1:21" ht="102">
      <c r="A1861" s="6">
        <v>43441.021261574075</v>
      </c>
      <c r="B1861" s="7" t="str">
        <f>HYPERLINK("https://twitter.com/DiscursoPeoria","@DiscursoPeoria")</f>
        <v>@DiscursoPeoria</v>
      </c>
      <c r="C1861" s="8" t="s">
        <v>789</v>
      </c>
      <c r="D1861" s="9" t="s">
        <v>6815</v>
      </c>
      <c r="E1861" s="10" t="str">
        <f>HYPERLINK("https://twitter.com/DiscursoPeoria/status/1070822852906102785","1070822852906102785")</f>
        <v>1070822852906102785</v>
      </c>
      <c r="F1861" s="18" t="s">
        <v>6816</v>
      </c>
      <c r="G1861" s="11"/>
      <c r="H1861" s="11"/>
      <c r="I1861" s="13">
        <v>0</v>
      </c>
      <c r="J1861" s="13">
        <v>0</v>
      </c>
      <c r="K1861" s="14" t="str">
        <f>HYPERLINK("http://twitter.com","Twitter Web Client")</f>
        <v>Twitter Web Client</v>
      </c>
      <c r="L1861" s="13">
        <v>1315</v>
      </c>
      <c r="M1861" s="13">
        <v>1641</v>
      </c>
      <c r="N1861" s="13">
        <v>29</v>
      </c>
      <c r="O1861" s="15"/>
      <c r="P1861" s="6">
        <v>42102.011423611111</v>
      </c>
      <c r="Q1861" s="18" t="s">
        <v>42</v>
      </c>
      <c r="R1861" s="19" t="s">
        <v>6817</v>
      </c>
      <c r="S1861" s="11"/>
      <c r="T1861" s="11"/>
      <c r="U1861" s="10" t="str">
        <f>HYPERLINK("https://pbs.twimg.com/profile_images/615992669211332609/qHgXL_Yg.jpg","View")</f>
        <v>View</v>
      </c>
    </row>
    <row r="1862" spans="1:21" ht="40.799999999999997">
      <c r="A1862" s="6">
        <v>43441.021064814813</v>
      </c>
      <c r="B1862" s="7" t="str">
        <f>HYPERLINK("https://twitter.com/carablanca2000","@carablanca2000")</f>
        <v>@carablanca2000</v>
      </c>
      <c r="C1862" s="8" t="s">
        <v>621</v>
      </c>
      <c r="D1862" s="9" t="s">
        <v>6818</v>
      </c>
      <c r="E1862" s="10" t="str">
        <f>HYPERLINK("https://twitter.com/carablanca2000/status/1070822779216412672","1070822779216412672")</f>
        <v>1070822779216412672</v>
      </c>
      <c r="F1862" s="11"/>
      <c r="G1862" s="11"/>
      <c r="H1862" s="11"/>
      <c r="I1862" s="13">
        <v>0</v>
      </c>
      <c r="J1862" s="13">
        <v>0</v>
      </c>
      <c r="K1862" s="14" t="str">
        <f t="shared" ref="K1862:K1863" si="316">HYPERLINK("http://twitter.com/download/android","Twitter for Android")</f>
        <v>Twitter for Android</v>
      </c>
      <c r="L1862" s="13">
        <v>174</v>
      </c>
      <c r="M1862" s="13">
        <v>352</v>
      </c>
      <c r="N1862" s="13">
        <v>2</v>
      </c>
      <c r="O1862" s="15"/>
      <c r="P1862" s="6">
        <v>40174.607662037037</v>
      </c>
      <c r="Q1862" s="18" t="s">
        <v>6819</v>
      </c>
      <c r="R1862" s="19" t="s">
        <v>6820</v>
      </c>
      <c r="S1862" s="12" t="s">
        <v>6821</v>
      </c>
      <c r="T1862" s="11"/>
      <c r="U1862" s="10" t="str">
        <f>HYPERLINK("https://pbs.twimg.com/profile_images/2642132811/33802642e78d13cb0fe08c4b889fa140.jpeg","View")</f>
        <v>View</v>
      </c>
    </row>
    <row r="1863" spans="1:21" ht="81.599999999999994">
      <c r="A1863" s="6">
        <v>43441.019490740742</v>
      </c>
      <c r="B1863" s="7" t="str">
        <f>HYPERLINK("https://twitter.com/alis_cb","@alis_cb")</f>
        <v>@alis_cb</v>
      </c>
      <c r="C1863" s="8" t="s">
        <v>3667</v>
      </c>
      <c r="D1863" s="9" t="s">
        <v>3668</v>
      </c>
      <c r="E1863" s="10" t="str">
        <f>HYPERLINK("https://twitter.com/alis_cb/status/1070822210993094662","1070822210993094662")</f>
        <v>1070822210993094662</v>
      </c>
      <c r="F1863" s="12" t="s">
        <v>3670</v>
      </c>
      <c r="G1863" s="11"/>
      <c r="H1863" s="11"/>
      <c r="I1863" s="13">
        <v>0</v>
      </c>
      <c r="J1863" s="13">
        <v>1</v>
      </c>
      <c r="K1863" s="14" t="str">
        <f t="shared" si="316"/>
        <v>Twitter for Android</v>
      </c>
      <c r="L1863" s="13">
        <v>2456</v>
      </c>
      <c r="M1863" s="13">
        <v>975</v>
      </c>
      <c r="N1863" s="13">
        <v>72</v>
      </c>
      <c r="O1863" s="15"/>
      <c r="P1863" s="6">
        <v>40194.893067129626</v>
      </c>
      <c r="Q1863" s="18" t="s">
        <v>3671</v>
      </c>
      <c r="R1863" s="19" t="s">
        <v>3672</v>
      </c>
      <c r="S1863" s="11"/>
      <c r="T1863" s="11"/>
      <c r="U1863" s="10" t="str">
        <f>HYPERLINK("https://pbs.twimg.com/profile_images/1055219635900039168/vutdW7gr.jpg","View")</f>
        <v>View</v>
      </c>
    </row>
    <row r="1864" spans="1:21" ht="51">
      <c r="A1864" s="6">
        <v>43441.018958333334</v>
      </c>
      <c r="B1864" s="7" t="str">
        <f>HYPERLINK("https://twitter.com/AdeSiracusa","@AdeSiracusa")</f>
        <v>@AdeSiracusa</v>
      </c>
      <c r="C1864" s="8" t="s">
        <v>682</v>
      </c>
      <c r="D1864" s="9" t="s">
        <v>6822</v>
      </c>
      <c r="E1864" s="10" t="str">
        <f>HYPERLINK("https://twitter.com/AdeSiracusa/status/1070822016557694976","1070822016557694976")</f>
        <v>1070822016557694976</v>
      </c>
      <c r="F1864" s="12" t="s">
        <v>6823</v>
      </c>
      <c r="G1864" s="11"/>
      <c r="H1864" s="11"/>
      <c r="I1864" s="13">
        <v>0</v>
      </c>
      <c r="J1864" s="13">
        <v>0</v>
      </c>
      <c r="K1864" s="14" t="str">
        <f>HYPERLINK("http://www.republicosvenezuela.com/","AdeSiracusa")</f>
        <v>AdeSiracusa</v>
      </c>
      <c r="L1864" s="13">
        <v>4091</v>
      </c>
      <c r="M1864" s="13">
        <v>4122</v>
      </c>
      <c r="N1864" s="13">
        <v>12</v>
      </c>
      <c r="O1864" s="15"/>
      <c r="P1864" s="6">
        <v>42958.576388888891</v>
      </c>
      <c r="Q1864" s="18" t="s">
        <v>689</v>
      </c>
      <c r="R1864" s="19" t="s">
        <v>690</v>
      </c>
      <c r="S1864" s="11"/>
      <c r="T1864" s="11"/>
      <c r="U1864" s="10" t="str">
        <f>HYPERLINK("https://pbs.twimg.com/profile_images/895978354591105024/x2wNXrPl.jpg","View")</f>
        <v>View</v>
      </c>
    </row>
    <row r="1865" spans="1:21" ht="51">
      <c r="A1865" s="6">
        <v>43441.017881944441</v>
      </c>
      <c r="B1865" s="7" t="str">
        <f>HYPERLINK("https://twitter.com/LuismiVox","@LuismiVox")</f>
        <v>@LuismiVox</v>
      </c>
      <c r="C1865" s="8" t="s">
        <v>3673</v>
      </c>
      <c r="D1865" s="9" t="s">
        <v>3675</v>
      </c>
      <c r="E1865" s="10" t="str">
        <f>HYPERLINK("https://twitter.com/LuismiVox/status/1070821626999201793","1070821626999201793")</f>
        <v>1070821626999201793</v>
      </c>
      <c r="F1865" s="11"/>
      <c r="G1865" s="11"/>
      <c r="H1865" s="11"/>
      <c r="I1865" s="13">
        <v>1</v>
      </c>
      <c r="J1865" s="13">
        <v>1</v>
      </c>
      <c r="K1865" s="14" t="str">
        <f>HYPERLINK("http://twitter.com/download/android","Twitter for Android")</f>
        <v>Twitter for Android</v>
      </c>
      <c r="L1865" s="13">
        <v>62</v>
      </c>
      <c r="M1865" s="13">
        <v>49</v>
      </c>
      <c r="N1865" s="13">
        <v>0</v>
      </c>
      <c r="O1865" s="15"/>
      <c r="P1865" s="6">
        <v>43437.551481481481</v>
      </c>
      <c r="Q1865" s="18" t="s">
        <v>41</v>
      </c>
      <c r="R1865" s="19" t="s">
        <v>3677</v>
      </c>
      <c r="S1865" s="11"/>
      <c r="T1865" s="11"/>
      <c r="U1865" s="10" t="str">
        <f>HYPERLINK("https://pbs.twimg.com/profile_images/1069566482911293440/GdbaBUtQ.jpg","View")</f>
        <v>View</v>
      </c>
    </row>
    <row r="1866" spans="1:21" ht="20.399999999999999">
      <c r="A1866" s="6">
        <v>43441.017372685186</v>
      </c>
      <c r="B1866" s="7" t="str">
        <f>HYPERLINK("https://twitter.com/vicentechispa","@vicentechispa")</f>
        <v>@vicentechispa</v>
      </c>
      <c r="C1866" s="8" t="s">
        <v>6824</v>
      </c>
      <c r="D1866" s="9" t="s">
        <v>6825</v>
      </c>
      <c r="E1866" s="10" t="str">
        <f>HYPERLINK("https://twitter.com/vicentechispa/status/1070821442776952833","1070821442776952833")</f>
        <v>1070821442776952833</v>
      </c>
      <c r="F1866" s="11"/>
      <c r="G1866" s="11"/>
      <c r="H1866" s="11"/>
      <c r="I1866" s="13">
        <v>0</v>
      </c>
      <c r="J1866" s="13">
        <v>0</v>
      </c>
      <c r="K1866" s="14" t="str">
        <f>HYPERLINK("http://twitter.com/download/iphone","Twitter for iPhone")</f>
        <v>Twitter for iPhone</v>
      </c>
      <c r="L1866" s="13">
        <v>50</v>
      </c>
      <c r="M1866" s="13">
        <v>71</v>
      </c>
      <c r="N1866" s="13">
        <v>1</v>
      </c>
      <c r="O1866" s="15"/>
      <c r="P1866" s="6">
        <v>42788.922754629632</v>
      </c>
      <c r="Q1866" s="11"/>
      <c r="R1866" s="19" t="s">
        <v>6826</v>
      </c>
      <c r="S1866" s="11"/>
      <c r="T1866" s="11"/>
      <c r="U1866" s="10" t="str">
        <f>HYPERLINK("https://pbs.twimg.com/profile_images/951813888709931009/xSJS_3-A.jpg","View")</f>
        <v>View</v>
      </c>
    </row>
    <row r="1867" spans="1:21" ht="30.6">
      <c r="A1867" s="6">
        <v>43441.016689814816</v>
      </c>
      <c r="B1867" s="7" t="str">
        <f>HYPERLINK("https://twitter.com/BailonHomer","@BailonHomer")</f>
        <v>@BailonHomer</v>
      </c>
      <c r="C1867" s="8" t="s">
        <v>397</v>
      </c>
      <c r="D1867" s="9" t="s">
        <v>3680</v>
      </c>
      <c r="E1867" s="10" t="str">
        <f>HYPERLINK("https://twitter.com/BailonHomer/status/1070821193769467905","1070821193769467905")</f>
        <v>1070821193769467905</v>
      </c>
      <c r="F1867" s="12" t="s">
        <v>3681</v>
      </c>
      <c r="G1867" s="12" t="s">
        <v>3682</v>
      </c>
      <c r="H1867" s="11"/>
      <c r="I1867" s="13">
        <v>0</v>
      </c>
      <c r="J1867" s="13">
        <v>1</v>
      </c>
      <c r="K1867" s="14" t="str">
        <f>HYPERLINK("http://twitter.com","Twitter Web Client")</f>
        <v>Twitter Web Client</v>
      </c>
      <c r="L1867" s="13">
        <v>50</v>
      </c>
      <c r="M1867" s="13">
        <v>161</v>
      </c>
      <c r="N1867" s="13">
        <v>0</v>
      </c>
      <c r="O1867" s="15"/>
      <c r="P1867" s="6">
        <v>43323.950752314813</v>
      </c>
      <c r="Q1867" s="18" t="s">
        <v>400</v>
      </c>
      <c r="R1867" s="19" t="s">
        <v>401</v>
      </c>
      <c r="S1867" s="11"/>
      <c r="T1867" s="11"/>
      <c r="U1867" s="10" t="str">
        <f>HYPERLINK("https://pbs.twimg.com/profile_images/1028387690348208128/hg7dqzUd.jpg","View")</f>
        <v>View</v>
      </c>
    </row>
    <row r="1868" spans="1:21" ht="40.799999999999997">
      <c r="A1868" s="6">
        <v>43441.016203703708</v>
      </c>
      <c r="B1868" s="7" t="str">
        <f>HYPERLINK("https://twitter.com/SoyTuAzote","@SoyTuAzote")</f>
        <v>@SoyTuAzote</v>
      </c>
      <c r="C1868" s="8" t="s">
        <v>1888</v>
      </c>
      <c r="D1868" s="9" t="s">
        <v>3684</v>
      </c>
      <c r="E1868" s="10" t="str">
        <f>HYPERLINK("https://twitter.com/SoyTuAzote/status/1070821020544708609","1070821020544708609")</f>
        <v>1070821020544708609</v>
      </c>
      <c r="F1868" s="11"/>
      <c r="G1868" s="12" t="s">
        <v>3686</v>
      </c>
      <c r="H1868" s="11"/>
      <c r="I1868" s="13">
        <v>0</v>
      </c>
      <c r="J1868" s="13">
        <v>0</v>
      </c>
      <c r="K1868" s="14" t="str">
        <f t="shared" ref="K1868:K1871" si="317">HYPERLINK("http://twitter.com/download/iphone","Twitter for iPhone")</f>
        <v>Twitter for iPhone</v>
      </c>
      <c r="L1868" s="13">
        <v>197</v>
      </c>
      <c r="M1868" s="13">
        <v>407</v>
      </c>
      <c r="N1868" s="13">
        <v>7</v>
      </c>
      <c r="O1868" s="15"/>
      <c r="P1868" s="6">
        <v>42352.43613425926</v>
      </c>
      <c r="Q1868" s="18" t="s">
        <v>1892</v>
      </c>
      <c r="R1868" s="19" t="s">
        <v>1893</v>
      </c>
      <c r="S1868" s="11"/>
      <c r="T1868" s="11"/>
      <c r="U1868" s="10" t="str">
        <f>HYPERLINK("https://pbs.twimg.com/profile_images/676333853850656768/mqwp5UvF.jpg","View")</f>
        <v>View</v>
      </c>
    </row>
    <row r="1869" spans="1:21" ht="40.799999999999997">
      <c r="A1869" s="6">
        <v>43441.016064814816</v>
      </c>
      <c r="B1869" s="7" t="str">
        <f>HYPERLINK("https://twitter.com/nievesfouz","@nievesfouz")</f>
        <v>@nievesfouz</v>
      </c>
      <c r="C1869" s="8" t="s">
        <v>6827</v>
      </c>
      <c r="D1869" s="9" t="s">
        <v>6828</v>
      </c>
      <c r="E1869" s="10" t="str">
        <f>HYPERLINK("https://twitter.com/nievesfouz/status/1070820967335817216","1070820967335817216")</f>
        <v>1070820967335817216</v>
      </c>
      <c r="F1869" s="12" t="s">
        <v>6582</v>
      </c>
      <c r="G1869" s="11"/>
      <c r="H1869" s="11"/>
      <c r="I1869" s="13">
        <v>2</v>
      </c>
      <c r="J1869" s="13">
        <v>6</v>
      </c>
      <c r="K1869" s="14" t="str">
        <f t="shared" si="317"/>
        <v>Twitter for iPhone</v>
      </c>
      <c r="L1869" s="13">
        <v>2628</v>
      </c>
      <c r="M1869" s="13">
        <v>2736</v>
      </c>
      <c r="N1869" s="13">
        <v>40</v>
      </c>
      <c r="O1869" s="15"/>
      <c r="P1869" s="6">
        <v>41664.801840277782</v>
      </c>
      <c r="Q1869" s="18" t="s">
        <v>6829</v>
      </c>
      <c r="R1869" s="19" t="s">
        <v>6830</v>
      </c>
      <c r="S1869" s="11"/>
      <c r="T1869" s="11"/>
      <c r="U1869" s="10" t="str">
        <f>HYPERLINK("https://pbs.twimg.com/profile_images/1070350690583764993/l6t0wouj.jpg","View")</f>
        <v>View</v>
      </c>
    </row>
    <row r="1870" spans="1:21" ht="81.599999999999994">
      <c r="A1870" s="6">
        <v>43441.014201388884</v>
      </c>
      <c r="B1870" s="7" t="str">
        <f>HYPERLINK("https://twitter.com/espainiakobeldu","@espainiakobeldu")</f>
        <v>@espainiakobeldu</v>
      </c>
      <c r="C1870" s="8" t="s">
        <v>3242</v>
      </c>
      <c r="D1870" s="9" t="s">
        <v>3689</v>
      </c>
      <c r="E1870" s="10" t="str">
        <f>HYPERLINK("https://twitter.com/espainiakobeldu/status/1070820294959472642","1070820294959472642")</f>
        <v>1070820294959472642</v>
      </c>
      <c r="F1870" s="12" t="s">
        <v>3691</v>
      </c>
      <c r="G1870" s="12" t="s">
        <v>3692</v>
      </c>
      <c r="H1870" s="11"/>
      <c r="I1870" s="13">
        <v>15</v>
      </c>
      <c r="J1870" s="13">
        <v>15</v>
      </c>
      <c r="K1870" s="14" t="str">
        <f t="shared" si="317"/>
        <v>Twitter for iPhone</v>
      </c>
      <c r="L1870" s="13">
        <v>478</v>
      </c>
      <c r="M1870" s="13">
        <v>876</v>
      </c>
      <c r="N1870" s="13">
        <v>0</v>
      </c>
      <c r="O1870" s="15"/>
      <c r="P1870" s="6">
        <v>43338.070520833338</v>
      </c>
      <c r="Q1870" s="18" t="s">
        <v>42</v>
      </c>
      <c r="R1870" s="19" t="s">
        <v>3247</v>
      </c>
      <c r="S1870" s="11"/>
      <c r="T1870" s="11"/>
      <c r="U1870" s="10" t="str">
        <f>HYPERLINK("https://pbs.twimg.com/profile_images/1034820060966281217/hzUW9nV0.jpg","View")</f>
        <v>View</v>
      </c>
    </row>
    <row r="1871" spans="1:21" ht="40.799999999999997">
      <c r="A1871" s="6">
        <v>43441.012777777782</v>
      </c>
      <c r="B1871" s="7" t="str">
        <f>HYPERLINK("https://twitter.com/nievesfouz","@nievesfouz")</f>
        <v>@nievesfouz</v>
      </c>
      <c r="C1871" s="8" t="s">
        <v>6827</v>
      </c>
      <c r="D1871" s="9" t="s">
        <v>6211</v>
      </c>
      <c r="E1871" s="10" t="str">
        <f>HYPERLINK("https://twitter.com/nievesfouz/status/1070819776551882753","1070819776551882753")</f>
        <v>1070819776551882753</v>
      </c>
      <c r="F1871" s="12" t="s">
        <v>6354</v>
      </c>
      <c r="G1871" s="11"/>
      <c r="H1871" s="11"/>
      <c r="I1871" s="13">
        <v>1</v>
      </c>
      <c r="J1871" s="13">
        <v>0</v>
      </c>
      <c r="K1871" s="14" t="str">
        <f t="shared" si="317"/>
        <v>Twitter for iPhone</v>
      </c>
      <c r="L1871" s="13">
        <v>2628</v>
      </c>
      <c r="M1871" s="13">
        <v>2736</v>
      </c>
      <c r="N1871" s="13">
        <v>40</v>
      </c>
      <c r="O1871" s="15"/>
      <c r="P1871" s="6">
        <v>41664.801840277782</v>
      </c>
      <c r="Q1871" s="18" t="s">
        <v>6829</v>
      </c>
      <c r="R1871" s="19" t="s">
        <v>6830</v>
      </c>
      <c r="S1871" s="11"/>
      <c r="T1871" s="11"/>
      <c r="U1871" s="10" t="str">
        <f>HYPERLINK("https://pbs.twimg.com/profile_images/1070350690583764993/l6t0wouj.jpg","View")</f>
        <v>View</v>
      </c>
    </row>
    <row r="1872" spans="1:21" ht="81.599999999999994">
      <c r="A1872" s="6">
        <v>43441.010150462964</v>
      </c>
      <c r="B1872" s="7" t="str">
        <f>HYPERLINK("https://twitter.com/MariaDeJesusCG1","@MariaDeJesusCG1")</f>
        <v>@MariaDeJesusCG1</v>
      </c>
      <c r="C1872" s="8" t="s">
        <v>3983</v>
      </c>
      <c r="D1872" s="9" t="s">
        <v>6832</v>
      </c>
      <c r="E1872" s="10" t="str">
        <f>HYPERLINK("https://twitter.com/MariaDeJesusCG1/status/1070818825581539333","1070818825581539333")</f>
        <v>1070818825581539333</v>
      </c>
      <c r="F1872" s="12" t="s">
        <v>6833</v>
      </c>
      <c r="G1872" s="12" t="s">
        <v>6834</v>
      </c>
      <c r="H1872" s="11"/>
      <c r="I1872" s="13">
        <v>0</v>
      </c>
      <c r="J1872" s="13">
        <v>0</v>
      </c>
      <c r="K1872" s="14" t="str">
        <f>HYPERLINK("http://twitter.com","Twitter Web Client")</f>
        <v>Twitter Web Client</v>
      </c>
      <c r="L1872" s="13">
        <v>5202</v>
      </c>
      <c r="M1872" s="13">
        <v>4940</v>
      </c>
      <c r="N1872" s="13">
        <v>55</v>
      </c>
      <c r="O1872" s="15"/>
      <c r="P1872" s="6">
        <v>41354.774907407409</v>
      </c>
      <c r="Q1872" s="18" t="s">
        <v>204</v>
      </c>
      <c r="R1872" s="19" t="s">
        <v>3986</v>
      </c>
      <c r="S1872" s="11"/>
      <c r="T1872" s="11"/>
      <c r="U1872" s="10" t="str">
        <f>HYPERLINK("https://pbs.twimg.com/profile_images/960227596494671872/3hEg6zQY.jpg","View")</f>
        <v>View</v>
      </c>
    </row>
    <row r="1873" spans="1:21" ht="20.399999999999999">
      <c r="A1873" s="6">
        <v>43441.010034722218</v>
      </c>
      <c r="B1873" s="7" t="str">
        <f>HYPERLINK("https://twitter.com/sumariumcom","@sumariumcom")</f>
        <v>@sumariumcom</v>
      </c>
      <c r="C1873" s="8" t="s">
        <v>4153</v>
      </c>
      <c r="D1873" s="9" t="s">
        <v>6696</v>
      </c>
      <c r="E1873" s="10" t="str">
        <f>HYPERLINK("https://twitter.com/sumariumcom/status/1070818785161043974","1070818785161043974")</f>
        <v>1070818785161043974</v>
      </c>
      <c r="F1873" s="12" t="s">
        <v>6697</v>
      </c>
      <c r="G1873" s="12" t="s">
        <v>6698</v>
      </c>
      <c r="H1873" s="11"/>
      <c r="I1873" s="13">
        <v>0</v>
      </c>
      <c r="J1873" s="13">
        <v>0</v>
      </c>
      <c r="K1873" s="14" t="str">
        <f>HYPERLINK("https://about.twitter.com/products/tweetdeck","TweetDeck")</f>
        <v>TweetDeck</v>
      </c>
      <c r="L1873" s="13">
        <v>164401</v>
      </c>
      <c r="M1873" s="13">
        <v>996</v>
      </c>
      <c r="N1873" s="13">
        <v>1122</v>
      </c>
      <c r="O1873" s="15"/>
      <c r="P1873" s="6">
        <v>40977.809594907405</v>
      </c>
      <c r="Q1873" s="18" t="s">
        <v>4159</v>
      </c>
      <c r="R1873" s="17"/>
      <c r="S1873" s="12" t="s">
        <v>4160</v>
      </c>
      <c r="T1873" s="11"/>
      <c r="U1873" s="10" t="str">
        <f>HYPERLINK("https://pbs.twimg.com/profile_images/1061987847874469888/mok5IDTt.jpg","View")</f>
        <v>View</v>
      </c>
    </row>
    <row r="1874" spans="1:21" ht="51">
      <c r="A1874" s="6">
        <v>43441.009548611109</v>
      </c>
      <c r="B1874" s="7" t="str">
        <f>HYPERLINK("https://twitter.com/andaqueyo","@andaqueyo")</f>
        <v>@andaqueyo</v>
      </c>
      <c r="C1874" s="8" t="s">
        <v>3693</v>
      </c>
      <c r="D1874" s="9" t="s">
        <v>3694</v>
      </c>
      <c r="E1874" s="10" t="str">
        <f>HYPERLINK("https://twitter.com/andaqueyo/status/1070818605393211392","1070818605393211392")</f>
        <v>1070818605393211392</v>
      </c>
      <c r="F1874" s="11"/>
      <c r="G1874" s="12" t="s">
        <v>3695</v>
      </c>
      <c r="H1874" s="11"/>
      <c r="I1874" s="13">
        <v>0</v>
      </c>
      <c r="J1874" s="13">
        <v>0</v>
      </c>
      <c r="K1874" s="14" t="str">
        <f>HYPERLINK("http://twitter.com","Twitter Web Client")</f>
        <v>Twitter Web Client</v>
      </c>
      <c r="L1874" s="13">
        <v>530</v>
      </c>
      <c r="M1874" s="13">
        <v>1790</v>
      </c>
      <c r="N1874" s="13">
        <v>3</v>
      </c>
      <c r="O1874" s="15"/>
      <c r="P1874" s="6">
        <v>42645.851307870369</v>
      </c>
      <c r="Q1874" s="18" t="s">
        <v>41</v>
      </c>
      <c r="R1874" s="19" t="s">
        <v>3696</v>
      </c>
      <c r="S1874" s="11"/>
      <c r="T1874" s="11"/>
      <c r="U1874" s="10" t="str">
        <f>HYPERLINK("https://pbs.twimg.com/profile_images/978788771360661505/kqX5Fo54.jpg","View")</f>
        <v>View</v>
      </c>
    </row>
    <row r="1875" spans="1:21" ht="20.399999999999999">
      <c r="A1875" s="6">
        <v>43441.00744212963</v>
      </c>
      <c r="B1875" s="7" t="str">
        <f>HYPERLINK("https://twitter.com/tonicarravela","@tonicarravela")</f>
        <v>@tonicarravela</v>
      </c>
      <c r="C1875" s="8" t="s">
        <v>6835</v>
      </c>
      <c r="D1875" s="9" t="s">
        <v>4125</v>
      </c>
      <c r="E1875" s="10" t="str">
        <f>HYPERLINK("https://twitter.com/tonicarravela/status/1070817842214391808","1070817842214391808")</f>
        <v>1070817842214391808</v>
      </c>
      <c r="F1875" s="12" t="s">
        <v>4126</v>
      </c>
      <c r="G1875" s="11"/>
      <c r="H1875" s="11"/>
      <c r="I1875" s="13">
        <v>0</v>
      </c>
      <c r="J1875" s="13">
        <v>0</v>
      </c>
      <c r="K1875" s="14" t="str">
        <f>HYPERLINK("http://twitter.com/download/iphone","Twitter for iPhone")</f>
        <v>Twitter for iPhone</v>
      </c>
      <c r="L1875" s="13">
        <v>1085</v>
      </c>
      <c r="M1875" s="13">
        <v>345</v>
      </c>
      <c r="N1875" s="13">
        <v>1</v>
      </c>
      <c r="O1875" s="15"/>
      <c r="P1875" s="6">
        <v>42648.839131944449</v>
      </c>
      <c r="Q1875" s="18" t="s">
        <v>6836</v>
      </c>
      <c r="R1875" s="19" t="s">
        <v>6837</v>
      </c>
      <c r="S1875" s="11"/>
      <c r="T1875" s="11"/>
      <c r="U1875" s="10" t="str">
        <f>HYPERLINK("https://pbs.twimg.com/profile_images/788757137728086016/J55q8Pgx.jpg","View")</f>
        <v>View</v>
      </c>
    </row>
    <row r="1876" spans="1:21" ht="30.6">
      <c r="A1876" s="6">
        <v>43441.006550925929</v>
      </c>
      <c r="B1876" s="7" t="str">
        <f>HYPERLINK("https://twitter.com/DAVIDLOPLOU","@DAVIDLOPLOU")</f>
        <v>@DAVIDLOPLOU</v>
      </c>
      <c r="C1876" s="8" t="s">
        <v>6838</v>
      </c>
      <c r="D1876" s="9" t="s">
        <v>6839</v>
      </c>
      <c r="E1876" s="10" t="str">
        <f>HYPERLINK("https://twitter.com/DAVIDLOPLOU/status/1070817521887051776","1070817521887051776")</f>
        <v>1070817521887051776</v>
      </c>
      <c r="F1876" s="11"/>
      <c r="G1876" s="11"/>
      <c r="H1876" s="11"/>
      <c r="I1876" s="13">
        <v>0</v>
      </c>
      <c r="J1876" s="13">
        <v>0</v>
      </c>
      <c r="K1876" s="14" t="str">
        <f>HYPERLINK("http://twitter.com","Twitter Web Client")</f>
        <v>Twitter Web Client</v>
      </c>
      <c r="L1876" s="13">
        <v>22</v>
      </c>
      <c r="M1876" s="13">
        <v>224</v>
      </c>
      <c r="N1876" s="13">
        <v>0</v>
      </c>
      <c r="O1876" s="15"/>
      <c r="P1876" s="6">
        <v>42780.688680555555</v>
      </c>
      <c r="Q1876" s="11"/>
      <c r="R1876" s="19" t="s">
        <v>6840</v>
      </c>
      <c r="S1876" s="11"/>
      <c r="T1876" s="11"/>
      <c r="U1876" s="10" t="str">
        <f>HYPERLINK("https://pbs.twimg.com/profile_images/880787054833143815/HM5MISAb.jpg","View")</f>
        <v>View</v>
      </c>
    </row>
    <row r="1877" spans="1:21" ht="40.799999999999997">
      <c r="A1877" s="6">
        <v>43441.006273148145</v>
      </c>
      <c r="B1877" s="7" t="str">
        <f>HYPERLINK("https://twitter.com/PodemosSarria","@PodemosSarria")</f>
        <v>@PodemosSarria</v>
      </c>
      <c r="C1877" s="8" t="s">
        <v>6841</v>
      </c>
      <c r="D1877" s="9" t="s">
        <v>6842</v>
      </c>
      <c r="E1877" s="10" t="str">
        <f>HYPERLINK("https://twitter.com/PodemosSarria/status/1070817420271632390","1070817420271632390")</f>
        <v>1070817420271632390</v>
      </c>
      <c r="F1877" s="12" t="s">
        <v>6843</v>
      </c>
      <c r="G1877" s="11"/>
      <c r="H1877" s="11"/>
      <c r="I1877" s="13">
        <v>0</v>
      </c>
      <c r="J1877" s="13">
        <v>1</v>
      </c>
      <c r="K1877" s="14" t="str">
        <f>HYPERLINK("http://www.facebook.com/twitter","Facebook")</f>
        <v>Facebook</v>
      </c>
      <c r="L1877" s="13">
        <v>1282</v>
      </c>
      <c r="M1877" s="13">
        <v>1305</v>
      </c>
      <c r="N1877" s="13">
        <v>11</v>
      </c>
      <c r="O1877" s="15"/>
      <c r="P1877" s="6">
        <v>42271.705405092594</v>
      </c>
      <c r="Q1877" s="18" t="s">
        <v>6844</v>
      </c>
      <c r="R1877" s="17"/>
      <c r="S1877" s="11"/>
      <c r="T1877" s="11"/>
      <c r="U1877" s="10" t="str">
        <f>HYPERLINK("https://pbs.twimg.com/profile_images/972558066288873478/1SRJEUmO.jpg","View")</f>
        <v>View</v>
      </c>
    </row>
    <row r="1878" spans="1:21" ht="20.399999999999999">
      <c r="A1878" s="6">
        <v>43441.006041666667</v>
      </c>
      <c r="B1878" s="7" t="str">
        <f>HYPERLINK("https://twitter.com/tonicarravela","@tonicarravela")</f>
        <v>@tonicarravela</v>
      </c>
      <c r="C1878" s="8" t="s">
        <v>6835</v>
      </c>
      <c r="D1878" s="9" t="s">
        <v>6845</v>
      </c>
      <c r="E1878" s="10" t="str">
        <f>HYPERLINK("https://twitter.com/tonicarravela/status/1070817335164981248","1070817335164981248")</f>
        <v>1070817335164981248</v>
      </c>
      <c r="F1878" s="12" t="s">
        <v>6846</v>
      </c>
      <c r="G1878" s="11"/>
      <c r="H1878" s="11"/>
      <c r="I1878" s="13">
        <v>0</v>
      </c>
      <c r="J1878" s="13">
        <v>0</v>
      </c>
      <c r="K1878" s="14" t="str">
        <f t="shared" ref="K1878:K1880" si="318">HYPERLINK("http://twitter.com/download/iphone","Twitter for iPhone")</f>
        <v>Twitter for iPhone</v>
      </c>
      <c r="L1878" s="13">
        <v>1085</v>
      </c>
      <c r="M1878" s="13">
        <v>345</v>
      </c>
      <c r="N1878" s="13">
        <v>1</v>
      </c>
      <c r="O1878" s="15"/>
      <c r="P1878" s="6">
        <v>42648.839131944449</v>
      </c>
      <c r="Q1878" s="18" t="s">
        <v>6836</v>
      </c>
      <c r="R1878" s="19" t="s">
        <v>6837</v>
      </c>
      <c r="S1878" s="11"/>
      <c r="T1878" s="11"/>
      <c r="U1878" s="10" t="str">
        <f>HYPERLINK("https://pbs.twimg.com/profile_images/788757137728086016/J55q8Pgx.jpg","View")</f>
        <v>View</v>
      </c>
    </row>
    <row r="1879" spans="1:21" ht="102">
      <c r="A1879" s="6">
        <v>43441.005486111113</v>
      </c>
      <c r="B1879" s="7" t="str">
        <f>HYPERLINK("https://twitter.com/LaAzufre","@LaAzufre")</f>
        <v>@LaAzufre</v>
      </c>
      <c r="C1879" s="8" t="s">
        <v>3699</v>
      </c>
      <c r="D1879" s="9" t="s">
        <v>3700</v>
      </c>
      <c r="E1879" s="10" t="str">
        <f>HYPERLINK("https://twitter.com/LaAzufre/status/1070817137248342018","1070817137248342018")</f>
        <v>1070817137248342018</v>
      </c>
      <c r="F1879" s="12" t="s">
        <v>3074</v>
      </c>
      <c r="G1879" s="12" t="s">
        <v>3075</v>
      </c>
      <c r="H1879" s="11"/>
      <c r="I1879" s="13">
        <v>2</v>
      </c>
      <c r="J1879" s="13">
        <v>0</v>
      </c>
      <c r="K1879" s="14" t="str">
        <f t="shared" si="318"/>
        <v>Twitter for iPhone</v>
      </c>
      <c r="L1879" s="13">
        <v>14747</v>
      </c>
      <c r="M1879" s="13">
        <v>14629</v>
      </c>
      <c r="N1879" s="13">
        <v>74</v>
      </c>
      <c r="O1879" s="15"/>
      <c r="P1879" s="6">
        <v>40375.84884259259</v>
      </c>
      <c r="Q1879" s="18" t="s">
        <v>3703</v>
      </c>
      <c r="R1879" s="19" t="s">
        <v>3704</v>
      </c>
      <c r="S1879" s="11"/>
      <c r="T1879" s="11"/>
      <c r="U1879" s="10" t="str">
        <f>HYPERLINK("https://pbs.twimg.com/profile_images/1804644181/LaAzufre.jpg","View")</f>
        <v>View</v>
      </c>
    </row>
    <row r="1880" spans="1:21" ht="40.799999999999997">
      <c r="A1880" s="6">
        <v>43441.005312499998</v>
      </c>
      <c r="B1880" s="7" t="str">
        <f>HYPERLINK("https://twitter.com/ec_bsu","@ec_bsu")</f>
        <v>@ec_bsu</v>
      </c>
      <c r="C1880" s="8" t="s">
        <v>3707</v>
      </c>
      <c r="D1880" s="9" t="s">
        <v>3708</v>
      </c>
      <c r="E1880" s="10" t="str">
        <f>HYPERLINK("https://twitter.com/ec_bsu/status/1070817071322357761","1070817071322357761")</f>
        <v>1070817071322357761</v>
      </c>
      <c r="F1880" s="11"/>
      <c r="G1880" s="11"/>
      <c r="H1880" s="11"/>
      <c r="I1880" s="13">
        <v>0</v>
      </c>
      <c r="J1880" s="13">
        <v>0</v>
      </c>
      <c r="K1880" s="14" t="str">
        <f t="shared" si="318"/>
        <v>Twitter for iPhone</v>
      </c>
      <c r="L1880" s="13">
        <v>168</v>
      </c>
      <c r="M1880" s="13">
        <v>417</v>
      </c>
      <c r="N1880" s="13">
        <v>2</v>
      </c>
      <c r="O1880" s="15"/>
      <c r="P1880" s="6">
        <v>41982.041608796295</v>
      </c>
      <c r="Q1880" s="11"/>
      <c r="R1880" s="19" t="s">
        <v>3709</v>
      </c>
      <c r="S1880" s="11"/>
      <c r="T1880" s="11"/>
      <c r="U1880" s="10" t="str">
        <f>HYPERLINK("https://pbs.twimg.com/profile_images/542247614805467136/ugkyZJu3.jpeg","View")</f>
        <v>View</v>
      </c>
    </row>
    <row r="1881" spans="1:21" ht="51">
      <c r="A1881" s="6">
        <v>43441.005127314813</v>
      </c>
      <c r="B1881" s="7" t="str">
        <f>HYPERLINK("https://twitter.com/pacoipunto","@pacoipunto")</f>
        <v>@pacoipunto</v>
      </c>
      <c r="C1881" s="8" t="s">
        <v>6847</v>
      </c>
      <c r="D1881" s="9" t="s">
        <v>6848</v>
      </c>
      <c r="E1881" s="10" t="str">
        <f>HYPERLINK("https://twitter.com/pacoipunto/status/1070817005484343297","1070817005484343297")</f>
        <v>1070817005484343297</v>
      </c>
      <c r="F1881" s="12" t="s">
        <v>6849</v>
      </c>
      <c r="G1881" s="12" t="s">
        <v>6850</v>
      </c>
      <c r="H1881" s="11"/>
      <c r="I1881" s="13">
        <v>13</v>
      </c>
      <c r="J1881" s="13">
        <v>15</v>
      </c>
      <c r="K1881" s="14" t="str">
        <f t="shared" ref="K1881:K1882" si="319">HYPERLINK("http://twitter.com/download/android","Twitter for Android")</f>
        <v>Twitter for Android</v>
      </c>
      <c r="L1881" s="13">
        <v>6170</v>
      </c>
      <c r="M1881" s="13">
        <v>4930</v>
      </c>
      <c r="N1881" s="13">
        <v>44</v>
      </c>
      <c r="O1881" s="15"/>
      <c r="P1881" s="6">
        <v>41315.887523148151</v>
      </c>
      <c r="Q1881" s="18" t="s">
        <v>1857</v>
      </c>
      <c r="R1881" s="19" t="s">
        <v>6851</v>
      </c>
      <c r="S1881" s="11"/>
      <c r="T1881" s="11"/>
      <c r="U1881" s="10" t="str">
        <f>HYPERLINK("https://pbs.twimg.com/profile_images/789076354746687489/FtwdftoJ.jpg","View")</f>
        <v>View</v>
      </c>
    </row>
    <row r="1882" spans="1:21" ht="30.6">
      <c r="A1882" s="6">
        <v>43441.004236111112</v>
      </c>
      <c r="B1882" s="7" t="str">
        <f>HYPERLINK("https://twitter.com/Eva69113","@Eva69113")</f>
        <v>@Eva69113</v>
      </c>
      <c r="C1882" s="8" t="s">
        <v>3711</v>
      </c>
      <c r="D1882" s="9" t="s">
        <v>3712</v>
      </c>
      <c r="E1882" s="10" t="str">
        <f>HYPERLINK("https://twitter.com/Eva69113/status/1070816682116071424","1070816682116071424")</f>
        <v>1070816682116071424</v>
      </c>
      <c r="F1882" s="11"/>
      <c r="G1882" s="11"/>
      <c r="H1882" s="11"/>
      <c r="I1882" s="13">
        <v>0</v>
      </c>
      <c r="J1882" s="13">
        <v>1</v>
      </c>
      <c r="K1882" s="14" t="str">
        <f t="shared" si="319"/>
        <v>Twitter for Android</v>
      </c>
      <c r="L1882" s="13">
        <v>511</v>
      </c>
      <c r="M1882" s="13">
        <v>634</v>
      </c>
      <c r="N1882" s="13">
        <v>0</v>
      </c>
      <c r="O1882" s="15"/>
      <c r="P1882" s="6">
        <v>43215.990428240737</v>
      </c>
      <c r="Q1882" s="18" t="s">
        <v>3715</v>
      </c>
      <c r="R1882" s="19" t="s">
        <v>3716</v>
      </c>
      <c r="S1882" s="11"/>
      <c r="T1882" s="11"/>
      <c r="U1882" s="10" t="str">
        <f>HYPERLINK("https://pbs.twimg.com/profile_images/1041709289801478144/DF6Rrm0D.jpg","View")</f>
        <v>View</v>
      </c>
    </row>
    <row r="1883" spans="1:21" ht="30.6">
      <c r="A1883" s="6">
        <v>43441.003981481481</v>
      </c>
      <c r="B1883" s="7" t="str">
        <f>HYPERLINK("https://twitter.com/juanluanaya","@juanluanaya")</f>
        <v>@juanluanaya</v>
      </c>
      <c r="C1883" s="8" t="s">
        <v>2745</v>
      </c>
      <c r="D1883" s="9" t="s">
        <v>6852</v>
      </c>
      <c r="E1883" s="10" t="str">
        <f>HYPERLINK("https://twitter.com/juanluanaya/status/1070816589459742721","1070816589459742721")</f>
        <v>1070816589459742721</v>
      </c>
      <c r="F1883" s="12" t="s">
        <v>6853</v>
      </c>
      <c r="G1883" s="11"/>
      <c r="H1883" s="11"/>
      <c r="I1883" s="13">
        <v>0</v>
      </c>
      <c r="J1883" s="13">
        <v>0</v>
      </c>
      <c r="K1883" s="14" t="str">
        <f>HYPERLINK("http://www.facebook.com/twitter","Facebook")</f>
        <v>Facebook</v>
      </c>
      <c r="L1883" s="13">
        <v>98</v>
      </c>
      <c r="M1883" s="13">
        <v>164</v>
      </c>
      <c r="N1883" s="13">
        <v>2</v>
      </c>
      <c r="O1883" s="15"/>
      <c r="P1883" s="6">
        <v>40623.905104166668</v>
      </c>
      <c r="Q1883" s="18" t="s">
        <v>3400</v>
      </c>
      <c r="R1883" s="19" t="s">
        <v>6854</v>
      </c>
      <c r="S1883" s="11"/>
      <c r="T1883" s="11"/>
      <c r="U1883" s="10" t="str">
        <f>HYPERLINK("https://pbs.twimg.com/profile_images/1061028051830669313/ewYV0LfV.jpg","View")</f>
        <v>View</v>
      </c>
    </row>
    <row r="1884" spans="1:21" ht="13.2">
      <c r="A1884" s="6">
        <v>43441.003564814819</v>
      </c>
      <c r="B1884" s="7" t="str">
        <f>HYPERLINK("https://twitter.com/capicua_Mca","@capicua_Mca")</f>
        <v>@capicua_Mca</v>
      </c>
      <c r="C1884" s="8" t="s">
        <v>6855</v>
      </c>
      <c r="D1884" s="9" t="s">
        <v>6856</v>
      </c>
      <c r="E1884" s="10" t="str">
        <f>HYPERLINK("https://twitter.com/capicua_Mca/status/1070816440406761472","1070816440406761472")</f>
        <v>1070816440406761472</v>
      </c>
      <c r="F1884" s="11"/>
      <c r="G1884" s="12" t="s">
        <v>6857</v>
      </c>
      <c r="H1884" s="11"/>
      <c r="I1884" s="13">
        <v>9</v>
      </c>
      <c r="J1884" s="13">
        <v>28</v>
      </c>
      <c r="K1884" s="14" t="str">
        <f>HYPERLINK("http://twitter.com/#!/download/ipad","Twitter for iPad")</f>
        <v>Twitter for iPad</v>
      </c>
      <c r="L1884" s="13">
        <v>4971</v>
      </c>
      <c r="M1884" s="13">
        <v>1273</v>
      </c>
      <c r="N1884" s="13">
        <v>42</v>
      </c>
      <c r="O1884" s="15"/>
      <c r="P1884" s="6">
        <v>40855.452592592592</v>
      </c>
      <c r="Q1884" s="18" t="s">
        <v>42</v>
      </c>
      <c r="R1884" s="17"/>
      <c r="S1884" s="12" t="s">
        <v>6858</v>
      </c>
      <c r="T1884" s="11"/>
      <c r="U1884" s="10" t="str">
        <f>HYPERLINK("https://pbs.twimg.com/profile_images/1065623947755118593/kQjqwoj2.jpg","View")</f>
        <v>View</v>
      </c>
    </row>
    <row r="1885" spans="1:21" ht="20.399999999999999">
      <c r="A1885" s="6">
        <v>43441.003483796296</v>
      </c>
      <c r="B1885" s="7" t="str">
        <f>HYPERLINK("https://twitter.com/lore9876","@lore9876")</f>
        <v>@lore9876</v>
      </c>
      <c r="C1885" s="8" t="s">
        <v>6859</v>
      </c>
      <c r="D1885" s="9" t="s">
        <v>2160</v>
      </c>
      <c r="E1885" s="10" t="str">
        <f>HYPERLINK("https://twitter.com/lore9876/status/1070816411524706306","1070816411524706306")</f>
        <v>1070816411524706306</v>
      </c>
      <c r="F1885" s="12" t="s">
        <v>2161</v>
      </c>
      <c r="G1885" s="11"/>
      <c r="H1885" s="11"/>
      <c r="I1885" s="13">
        <v>3</v>
      </c>
      <c r="J1885" s="13">
        <v>2</v>
      </c>
      <c r="K1885" s="14" t="str">
        <f>HYPERLINK("http://twitter.com/download/iphone","Twitter for iPhone")</f>
        <v>Twitter for iPhone</v>
      </c>
      <c r="L1885" s="13">
        <v>1372</v>
      </c>
      <c r="M1885" s="13">
        <v>1386</v>
      </c>
      <c r="N1885" s="13">
        <v>19</v>
      </c>
      <c r="O1885" s="15"/>
      <c r="P1885" s="6">
        <v>40454.712974537033</v>
      </c>
      <c r="Q1885" s="18" t="s">
        <v>307</v>
      </c>
      <c r="R1885" s="19" t="s">
        <v>6860</v>
      </c>
      <c r="S1885" s="11"/>
      <c r="T1885" s="11"/>
      <c r="U1885" s="10" t="str">
        <f>HYPERLINK("https://pbs.twimg.com/profile_images/480427623672451072/JSkCrEzn.jpeg","View")</f>
        <v>View</v>
      </c>
    </row>
    <row r="1886" spans="1:21" ht="40.799999999999997">
      <c r="A1886" s="6">
        <v>43441.003298611111</v>
      </c>
      <c r="B1886" s="7" t="str">
        <f>HYPERLINK("https://twitter.com/jubilado49","@jubilado49")</f>
        <v>@jubilado49</v>
      </c>
      <c r="C1886" s="8" t="s">
        <v>6861</v>
      </c>
      <c r="D1886" s="9" t="s">
        <v>6862</v>
      </c>
      <c r="E1886" s="10" t="str">
        <f>HYPERLINK("https://twitter.com/jubilado49/status/1070816340934574080","1070816340934574080")</f>
        <v>1070816340934574080</v>
      </c>
      <c r="F1886" s="12" t="s">
        <v>6863</v>
      </c>
      <c r="G1886" s="11"/>
      <c r="H1886" s="11"/>
      <c r="I1886" s="13">
        <v>0</v>
      </c>
      <c r="J1886" s="13">
        <v>0</v>
      </c>
      <c r="K1886" s="14" t="str">
        <f>HYPERLINK("http://twitter.com","Twitter Web Client")</f>
        <v>Twitter Web Client</v>
      </c>
      <c r="L1886" s="13">
        <v>358</v>
      </c>
      <c r="M1886" s="13">
        <v>763</v>
      </c>
      <c r="N1886" s="13">
        <v>3</v>
      </c>
      <c r="O1886" s="15"/>
      <c r="P1886" s="6">
        <v>41791.933888888889</v>
      </c>
      <c r="Q1886" s="18" t="s">
        <v>6864</v>
      </c>
      <c r="R1886" s="19" t="s">
        <v>6865</v>
      </c>
      <c r="S1886" s="11"/>
      <c r="T1886" s="11"/>
      <c r="U1886" s="10" t="str">
        <f>HYPERLINK("https://pbs.twimg.com/profile_images/654011165660565504/JjEr_dj5.jpg","View")</f>
        <v>View</v>
      </c>
    </row>
    <row r="1887" spans="1:21" ht="30.6">
      <c r="A1887" s="6">
        <v>43441.002812499995</v>
      </c>
      <c r="B1887" s="7" t="str">
        <f>HYPERLINK("https://twitter.com/tonicarravela","@tonicarravela")</f>
        <v>@tonicarravela</v>
      </c>
      <c r="C1887" s="8" t="s">
        <v>6835</v>
      </c>
      <c r="D1887" s="9" t="s">
        <v>6866</v>
      </c>
      <c r="E1887" s="10" t="str">
        <f>HYPERLINK("https://twitter.com/tonicarravela/status/1070816167433068545","1070816167433068545")</f>
        <v>1070816167433068545</v>
      </c>
      <c r="F1887" s="12" t="s">
        <v>6867</v>
      </c>
      <c r="G1887" s="11"/>
      <c r="H1887" s="11"/>
      <c r="I1887" s="13">
        <v>0</v>
      </c>
      <c r="J1887" s="13">
        <v>0</v>
      </c>
      <c r="K1887" s="14" t="str">
        <f>HYPERLINK("http://twitter.com/download/iphone","Twitter for iPhone")</f>
        <v>Twitter for iPhone</v>
      </c>
      <c r="L1887" s="13">
        <v>1085</v>
      </c>
      <c r="M1887" s="13">
        <v>345</v>
      </c>
      <c r="N1887" s="13">
        <v>1</v>
      </c>
      <c r="O1887" s="15"/>
      <c r="P1887" s="6">
        <v>42648.839131944449</v>
      </c>
      <c r="Q1887" s="18" t="s">
        <v>6836</v>
      </c>
      <c r="R1887" s="19" t="s">
        <v>6837</v>
      </c>
      <c r="S1887" s="11"/>
      <c r="T1887" s="11"/>
      <c r="U1887" s="10" t="str">
        <f>HYPERLINK("https://pbs.twimg.com/profile_images/788757137728086016/J55q8Pgx.jpg","View")</f>
        <v>View</v>
      </c>
    </row>
    <row r="1888" spans="1:21" ht="20.399999999999999">
      <c r="A1888" s="6">
        <v>43441.002627314811</v>
      </c>
      <c r="B1888" s="7" t="str">
        <f>HYPERLINK("https://twitter.com/EscodaLibros","@EscodaLibros")</f>
        <v>@EscodaLibros</v>
      </c>
      <c r="C1888" s="8" t="s">
        <v>6868</v>
      </c>
      <c r="D1888" s="9" t="s">
        <v>6796</v>
      </c>
      <c r="E1888" s="10" t="str">
        <f>HYPERLINK("https://twitter.com/EscodaLibros/status/1070816098948472838","1070816098948472838")</f>
        <v>1070816098948472838</v>
      </c>
      <c r="F1888" s="12" t="s">
        <v>6869</v>
      </c>
      <c r="G1888" s="11"/>
      <c r="H1888" s="11"/>
      <c r="I1888" s="13">
        <v>0</v>
      </c>
      <c r="J1888" s="13">
        <v>0</v>
      </c>
      <c r="K1888" s="14" t="str">
        <f>HYPERLINK("http://www.facebook.com/twitter","Facebook")</f>
        <v>Facebook</v>
      </c>
      <c r="L1888" s="13">
        <v>58</v>
      </c>
      <c r="M1888" s="13">
        <v>144</v>
      </c>
      <c r="N1888" s="13">
        <v>2</v>
      </c>
      <c r="O1888" s="15"/>
      <c r="P1888" s="6">
        <v>41573.922905092593</v>
      </c>
      <c r="Q1888" s="18" t="s">
        <v>173</v>
      </c>
      <c r="R1888" s="19" t="s">
        <v>6870</v>
      </c>
      <c r="S1888" s="12" t="s">
        <v>6871</v>
      </c>
      <c r="T1888" s="11"/>
      <c r="U1888" s="10" t="str">
        <f>HYPERLINK("https://pbs.twimg.com/profile_images/932644611335573505/EnaL9kok.jpg","View")</f>
        <v>View</v>
      </c>
    </row>
    <row r="1889" spans="1:21" ht="30.6">
      <c r="A1889" s="6">
        <v>43441.001956018517</v>
      </c>
      <c r="B1889" s="7" t="str">
        <f>HYPERLINK("https://twitter.com/AveriadosAve","@AveriadosAve")</f>
        <v>@AveriadosAve</v>
      </c>
      <c r="C1889" s="8" t="s">
        <v>6872</v>
      </c>
      <c r="D1889" s="9" t="s">
        <v>6873</v>
      </c>
      <c r="E1889" s="10" t="str">
        <f>HYPERLINK("https://twitter.com/AveriadosAve/status/1070815855959773184","1070815855959773184")</f>
        <v>1070815855959773184</v>
      </c>
      <c r="F1889" s="12" t="s">
        <v>6874</v>
      </c>
      <c r="G1889" s="11"/>
      <c r="H1889" s="11"/>
      <c r="I1889" s="13">
        <v>1</v>
      </c>
      <c r="J1889" s="13">
        <v>1</v>
      </c>
      <c r="K1889" s="14" t="str">
        <f t="shared" ref="K1889:K1892" si="320">HYPERLINK("http://twitter.com","Twitter Web Client")</f>
        <v>Twitter Web Client</v>
      </c>
      <c r="L1889" s="13">
        <v>1077</v>
      </c>
      <c r="M1889" s="13">
        <v>1242</v>
      </c>
      <c r="N1889" s="13">
        <v>6</v>
      </c>
      <c r="O1889" s="15"/>
      <c r="P1889" s="6">
        <v>42026.972129629634</v>
      </c>
      <c r="Q1889" s="11"/>
      <c r="R1889" s="19" t="s">
        <v>6875</v>
      </c>
      <c r="S1889" s="11"/>
      <c r="T1889" s="11"/>
      <c r="U1889" s="10" t="str">
        <f>HYPERLINK("https://pbs.twimg.com/profile_images/914981862933753862/00Zo8Rx6.jpg","View")</f>
        <v>View</v>
      </c>
    </row>
    <row r="1890" spans="1:21" ht="20.399999999999999">
      <c r="A1890" s="6">
        <v>43441.001701388886</v>
      </c>
      <c r="B1890" s="7" t="str">
        <f>HYPERLINK("https://twitter.com/jmoscad","@jmoscad")</f>
        <v>@jmoscad</v>
      </c>
      <c r="C1890" s="8" t="s">
        <v>6876</v>
      </c>
      <c r="D1890" s="9" t="s">
        <v>6877</v>
      </c>
      <c r="E1890" s="10" t="str">
        <f>HYPERLINK("https://twitter.com/jmoscad/status/1070815761961246721","1070815761961246721")</f>
        <v>1070815761961246721</v>
      </c>
      <c r="F1890" s="12" t="s">
        <v>6878</v>
      </c>
      <c r="G1890" s="11"/>
      <c r="H1890" s="11"/>
      <c r="I1890" s="13">
        <v>1</v>
      </c>
      <c r="J1890" s="13">
        <v>1</v>
      </c>
      <c r="K1890" s="14" t="str">
        <f t="shared" si="320"/>
        <v>Twitter Web Client</v>
      </c>
      <c r="L1890" s="13">
        <v>2293</v>
      </c>
      <c r="M1890" s="13">
        <v>2769</v>
      </c>
      <c r="N1890" s="13">
        <v>30</v>
      </c>
      <c r="O1890" s="15"/>
      <c r="P1890" s="6">
        <v>41207.797592592593</v>
      </c>
      <c r="Q1890" s="18" t="s">
        <v>6879</v>
      </c>
      <c r="R1890" s="19" t="s">
        <v>6880</v>
      </c>
      <c r="S1890" s="12" t="s">
        <v>6881</v>
      </c>
      <c r="T1890" s="11"/>
      <c r="U1890" s="10" t="str">
        <f>HYPERLINK("https://pbs.twimg.com/profile_images/914763089836433408/3Zzyp44-.jpg","View")</f>
        <v>View</v>
      </c>
    </row>
    <row r="1891" spans="1:21" ht="40.799999999999997">
      <c r="A1891" s="6">
        <v>43441.00068287037</v>
      </c>
      <c r="B1891" s="7" t="str">
        <f>HYPERLINK("https://twitter.com/futbolaragones","@futbolaragones")</f>
        <v>@futbolaragones</v>
      </c>
      <c r="C1891" s="22" t="s">
        <v>6882</v>
      </c>
      <c r="D1891" s="9" t="s">
        <v>6883</v>
      </c>
      <c r="E1891" s="10" t="str">
        <f>HYPERLINK("https://twitter.com/futbolaragones/status/1070815394556985344","1070815394556985344")</f>
        <v>1070815394556985344</v>
      </c>
      <c r="F1891" s="12" t="s">
        <v>6884</v>
      </c>
      <c r="G1891" s="11"/>
      <c r="H1891" s="11"/>
      <c r="I1891" s="13">
        <v>1</v>
      </c>
      <c r="J1891" s="13">
        <v>0</v>
      </c>
      <c r="K1891" s="14" t="str">
        <f t="shared" si="320"/>
        <v>Twitter Web Client</v>
      </c>
      <c r="L1891" s="13">
        <v>9989</v>
      </c>
      <c r="M1891" s="13">
        <v>4652</v>
      </c>
      <c r="N1891" s="13">
        <v>111</v>
      </c>
      <c r="O1891" s="15"/>
      <c r="P1891" s="6">
        <v>40019.785613425927</v>
      </c>
      <c r="Q1891" s="18" t="s">
        <v>6885</v>
      </c>
      <c r="R1891" s="19" t="s">
        <v>6886</v>
      </c>
      <c r="S1891" s="12" t="s">
        <v>6887</v>
      </c>
      <c r="T1891" s="11"/>
      <c r="U1891" s="10" t="str">
        <f>HYPERLINK("https://pbs.twimg.com/profile_images/974058549713260544/KY6KZaT3.jpg","View")</f>
        <v>View</v>
      </c>
    </row>
    <row r="1892" spans="1:21" ht="20.399999999999999">
      <c r="A1892" s="6">
        <v>43441.000520833331</v>
      </c>
      <c r="B1892" s="7" t="str">
        <f>HYPERLINK("https://twitter.com/MST_Misterio","@MST_Misterio")</f>
        <v>@MST_Misterio</v>
      </c>
      <c r="C1892" s="8" t="s">
        <v>3718</v>
      </c>
      <c r="D1892" s="9" t="s">
        <v>3720</v>
      </c>
      <c r="E1892" s="10" t="str">
        <f>HYPERLINK("https://twitter.com/MST_Misterio/status/1070815337376034817","1070815337376034817")</f>
        <v>1070815337376034817</v>
      </c>
      <c r="F1892" s="11"/>
      <c r="G1892" s="12" t="s">
        <v>3722</v>
      </c>
      <c r="H1892" s="11"/>
      <c r="I1892" s="13">
        <v>0</v>
      </c>
      <c r="J1892" s="13">
        <v>1</v>
      </c>
      <c r="K1892" s="14" t="str">
        <f t="shared" si="320"/>
        <v>Twitter Web Client</v>
      </c>
      <c r="L1892" s="13">
        <v>196</v>
      </c>
      <c r="M1892" s="13">
        <v>719</v>
      </c>
      <c r="N1892" s="13">
        <v>1</v>
      </c>
      <c r="O1892" s="15"/>
      <c r="P1892" s="6">
        <v>42941.776898148149</v>
      </c>
      <c r="Q1892" s="18" t="s">
        <v>246</v>
      </c>
      <c r="R1892" s="19" t="s">
        <v>3723</v>
      </c>
      <c r="S1892" s="12" t="s">
        <v>3724</v>
      </c>
      <c r="T1892" s="11"/>
      <c r="U1892" s="10" t="str">
        <f>HYPERLINK("https://pbs.twimg.com/profile_images/1009029537236217856/hqTpr_ry.jpg","View")</f>
        <v>View</v>
      </c>
    </row>
    <row r="1893" spans="1:21" ht="20.399999999999999">
      <c r="A1893" s="6">
        <v>43441.000462962962</v>
      </c>
      <c r="B1893" s="7" t="str">
        <f>HYPERLINK("https://twitter.com/Press15m","@Press15m")</f>
        <v>@Press15m</v>
      </c>
      <c r="C1893" s="8" t="s">
        <v>6888</v>
      </c>
      <c r="D1893" s="9" t="s">
        <v>6340</v>
      </c>
      <c r="E1893" s="10" t="str">
        <f>HYPERLINK("https://twitter.com/Press15m/status/1070815313724243968","1070815313724243968")</f>
        <v>1070815313724243968</v>
      </c>
      <c r="F1893" s="12" t="s">
        <v>6889</v>
      </c>
      <c r="G1893" s="12" t="s">
        <v>6890</v>
      </c>
      <c r="H1893" s="11"/>
      <c r="I1893" s="13">
        <v>0</v>
      </c>
      <c r="J1893" s="13">
        <v>0</v>
      </c>
      <c r="K1893" s="14" t="str">
        <f>HYPERLINK("https://dlvrit.com/","dlvr.it")</f>
        <v>dlvr.it</v>
      </c>
      <c r="L1893" s="13">
        <v>37</v>
      </c>
      <c r="M1893" s="13">
        <v>385</v>
      </c>
      <c r="N1893" s="13">
        <v>0</v>
      </c>
      <c r="O1893" s="15"/>
      <c r="P1893" s="6">
        <v>42910.755381944444</v>
      </c>
      <c r="Q1893" s="18" t="s">
        <v>3361</v>
      </c>
      <c r="R1893" s="19" t="s">
        <v>6891</v>
      </c>
      <c r="S1893" s="11"/>
      <c r="T1893" s="11"/>
      <c r="U1893" s="10" t="str">
        <f>HYPERLINK("https://pbs.twimg.com/profile_images/878653554952724480/AEARzI_r.jpg","View")</f>
        <v>View</v>
      </c>
    </row>
    <row r="1894" spans="1:21" ht="30.6">
      <c r="A1894" s="6">
        <v>43441.000381944439</v>
      </c>
      <c r="B1894" s="7" t="str">
        <f>HYPERLINK("https://twitter.com/Hispania1966","@Hispania1966")</f>
        <v>@Hispania1966</v>
      </c>
      <c r="C1894" s="8" t="s">
        <v>6892</v>
      </c>
      <c r="D1894" s="9" t="s">
        <v>3591</v>
      </c>
      <c r="E1894" s="10" t="str">
        <f>HYPERLINK("https://twitter.com/Hispania1966/status/1070815283827359744","1070815283827359744")</f>
        <v>1070815283827359744</v>
      </c>
      <c r="F1894" s="12" t="s">
        <v>1051</v>
      </c>
      <c r="G1894" s="11"/>
      <c r="H1894" s="11"/>
      <c r="I1894" s="13">
        <v>0</v>
      </c>
      <c r="J1894" s="13">
        <v>0</v>
      </c>
      <c r="K1894" s="14" t="str">
        <f t="shared" ref="K1894:K1895" si="321">HYPERLINK("http://twitter.com/download/iphone","Twitter for iPhone")</f>
        <v>Twitter for iPhone</v>
      </c>
      <c r="L1894" s="13">
        <v>539</v>
      </c>
      <c r="M1894" s="13">
        <v>461</v>
      </c>
      <c r="N1894" s="13">
        <v>2</v>
      </c>
      <c r="O1894" s="15"/>
      <c r="P1894" s="6">
        <v>43218.490254629629</v>
      </c>
      <c r="Q1894" s="18" t="s">
        <v>42</v>
      </c>
      <c r="R1894" s="19" t="s">
        <v>6893</v>
      </c>
      <c r="S1894" s="11"/>
      <c r="T1894" s="11"/>
      <c r="U1894" s="10" t="str">
        <f>HYPERLINK("https://pbs.twimg.com/profile_images/992891949286817792/BB1d4ie-.jpg","View")</f>
        <v>View</v>
      </c>
    </row>
    <row r="1895" spans="1:21" ht="20.399999999999999">
      <c r="A1895" s="6">
        <v>43440.998865740738</v>
      </c>
      <c r="B1895" s="7" t="str">
        <f>HYPERLINK("https://twitter.com/MagdaQR","@MagdaQR")</f>
        <v>@MagdaQR</v>
      </c>
      <c r="C1895" s="8" t="s">
        <v>1481</v>
      </c>
      <c r="D1895" s="9" t="s">
        <v>6894</v>
      </c>
      <c r="E1895" s="10" t="str">
        <f>HYPERLINK("https://twitter.com/MagdaQR/status/1070814737162735616","1070814737162735616")</f>
        <v>1070814737162735616</v>
      </c>
      <c r="F1895" s="12" t="s">
        <v>6895</v>
      </c>
      <c r="G1895" s="11"/>
      <c r="H1895" s="11"/>
      <c r="I1895" s="13">
        <v>0</v>
      </c>
      <c r="J1895" s="13">
        <v>0</v>
      </c>
      <c r="K1895" s="14" t="str">
        <f t="shared" si="321"/>
        <v>Twitter for iPhone</v>
      </c>
      <c r="L1895" s="13">
        <v>183</v>
      </c>
      <c r="M1895" s="13">
        <v>425</v>
      </c>
      <c r="N1895" s="13">
        <v>9</v>
      </c>
      <c r="O1895" s="15"/>
      <c r="P1895" s="6">
        <v>41292.960891203707</v>
      </c>
      <c r="Q1895" s="11"/>
      <c r="R1895" s="19" t="s">
        <v>1484</v>
      </c>
      <c r="S1895" s="11"/>
      <c r="T1895" s="11"/>
      <c r="U1895" s="10" t="str">
        <f>HYPERLINK("https://pbs.twimg.com/profile_images/1017165496280666112/YVBuLPNe.jpg","View")</f>
        <v>View</v>
      </c>
    </row>
    <row r="1896" spans="1:21" ht="30.6">
      <c r="A1896" s="6">
        <v>43440.998553240745</v>
      </c>
      <c r="B1896" s="7" t="str">
        <f>HYPERLINK("https://twitter.com/abarea_es","@abarea_es")</f>
        <v>@abarea_es</v>
      </c>
      <c r="C1896" s="8" t="s">
        <v>3017</v>
      </c>
      <c r="D1896" s="9" t="s">
        <v>3727</v>
      </c>
      <c r="E1896" s="10" t="str">
        <f>HYPERLINK("https://twitter.com/abarea_es/status/1070814624700862464","1070814624700862464")</f>
        <v>1070814624700862464</v>
      </c>
      <c r="F1896" s="12" t="s">
        <v>3728</v>
      </c>
      <c r="G1896" s="12" t="s">
        <v>3729</v>
      </c>
      <c r="H1896" s="11"/>
      <c r="I1896" s="13">
        <v>0</v>
      </c>
      <c r="J1896" s="13">
        <v>1</v>
      </c>
      <c r="K1896" s="14" t="str">
        <f>HYPERLINK("http://twitter.com","Twitter Web Client")</f>
        <v>Twitter Web Client</v>
      </c>
      <c r="L1896" s="13">
        <v>1743</v>
      </c>
      <c r="M1896" s="13">
        <v>2372</v>
      </c>
      <c r="N1896" s="13">
        <v>18</v>
      </c>
      <c r="O1896" s="15"/>
      <c r="P1896" s="6">
        <v>40645.854930555557</v>
      </c>
      <c r="Q1896" s="18" t="s">
        <v>2896</v>
      </c>
      <c r="R1896" s="19" t="s">
        <v>3021</v>
      </c>
      <c r="S1896" s="11"/>
      <c r="T1896" s="11"/>
      <c r="U1896" s="10" t="str">
        <f>HYPERLINK("https://pbs.twimg.com/profile_images/938839925201555462/61j9MW37.jpg","View")</f>
        <v>View</v>
      </c>
    </row>
    <row r="1897" spans="1:21" ht="40.799999999999997">
      <c r="A1897" s="6">
        <v>43440.998506944445</v>
      </c>
      <c r="B1897" s="7" t="str">
        <f>HYPERLINK("https://twitter.com/jmhm1964","@jmhm1964")</f>
        <v>@jmhm1964</v>
      </c>
      <c r="C1897" s="8" t="s">
        <v>6896</v>
      </c>
      <c r="D1897" s="9" t="s">
        <v>6897</v>
      </c>
      <c r="E1897" s="10" t="str">
        <f>HYPERLINK("https://twitter.com/jmhm1964/status/1070814606556323842","1070814606556323842")</f>
        <v>1070814606556323842</v>
      </c>
      <c r="F1897" s="12" t="s">
        <v>6898</v>
      </c>
      <c r="G1897" s="11"/>
      <c r="H1897" s="11"/>
      <c r="I1897" s="13">
        <v>0</v>
      </c>
      <c r="J1897" s="13">
        <v>0</v>
      </c>
      <c r="K1897" s="14" t="str">
        <f>HYPERLINK("http://twitter.com/download/iphone","Twitter for iPhone")</f>
        <v>Twitter for iPhone</v>
      </c>
      <c r="L1897" s="13">
        <v>36</v>
      </c>
      <c r="M1897" s="13">
        <v>27</v>
      </c>
      <c r="N1897" s="13">
        <v>0</v>
      </c>
      <c r="O1897" s="15"/>
      <c r="P1897" s="6">
        <v>40603.973807870367</v>
      </c>
      <c r="Q1897" s="18" t="s">
        <v>246</v>
      </c>
      <c r="R1897" s="19" t="s">
        <v>6899</v>
      </c>
      <c r="S1897" s="11"/>
      <c r="T1897" s="11"/>
      <c r="U1897" s="10" t="str">
        <f>HYPERLINK("https://pbs.twimg.com/profile_images/1005928123987263492/6Cpgmbxu.jpg","View")</f>
        <v>View</v>
      </c>
    </row>
    <row r="1898" spans="1:21" ht="40.799999999999997">
      <c r="A1898" s="6">
        <v>43440.998067129629</v>
      </c>
      <c r="B1898" s="7" t="str">
        <f>HYPERLINK("https://twitter.com/AlexAlvesA3","@AlexAlvesA3")</f>
        <v>@AlexAlvesA3</v>
      </c>
      <c r="C1898" s="8" t="s">
        <v>6900</v>
      </c>
      <c r="D1898" s="9" t="s">
        <v>6901</v>
      </c>
      <c r="E1898" s="10" t="str">
        <f>HYPERLINK("https://twitter.com/AlexAlvesA3/status/1070814448410091520","1070814448410091520")</f>
        <v>1070814448410091520</v>
      </c>
      <c r="F1898" s="18" t="s">
        <v>5190</v>
      </c>
      <c r="G1898" s="12" t="s">
        <v>5191</v>
      </c>
      <c r="H1898" s="11"/>
      <c r="I1898" s="13">
        <v>2</v>
      </c>
      <c r="J1898" s="13">
        <v>3</v>
      </c>
      <c r="K1898" s="14" t="str">
        <f>HYPERLINK("http://twitter.com/download/android","Twitter for Android")</f>
        <v>Twitter for Android</v>
      </c>
      <c r="L1898" s="13">
        <v>269</v>
      </c>
      <c r="M1898" s="13">
        <v>353</v>
      </c>
      <c r="N1898" s="13">
        <v>4</v>
      </c>
      <c r="O1898" s="15"/>
      <c r="P1898" s="6">
        <v>41470.150914351849</v>
      </c>
      <c r="Q1898" s="18" t="s">
        <v>6902</v>
      </c>
      <c r="R1898" s="19" t="s">
        <v>6903</v>
      </c>
      <c r="S1898" s="11"/>
      <c r="T1898" s="11"/>
      <c r="U1898" s="10" t="str">
        <f>HYPERLINK("https://pbs.twimg.com/profile_images/846250353817456640/vbIgU3Qz.jpg","View")</f>
        <v>View</v>
      </c>
    </row>
    <row r="1899" spans="1:21" ht="20.399999999999999">
      <c r="A1899" s="6">
        <v>43440.998032407406</v>
      </c>
      <c r="B1899" s="7" t="str">
        <f>HYPERLINK("https://twitter.com/FJDomingo","@FJDomingo")</f>
        <v>@FJDomingo</v>
      </c>
      <c r="C1899" s="8" t="s">
        <v>2445</v>
      </c>
      <c r="D1899" s="9" t="s">
        <v>6904</v>
      </c>
      <c r="E1899" s="10" t="str">
        <f>HYPERLINK("https://twitter.com/FJDomingo/status/1070814435609067520","1070814435609067520")</f>
        <v>1070814435609067520</v>
      </c>
      <c r="F1899" s="12" t="s">
        <v>6905</v>
      </c>
      <c r="G1899" s="11"/>
      <c r="H1899" s="11"/>
      <c r="I1899" s="13">
        <v>0</v>
      </c>
      <c r="J1899" s="13">
        <v>0</v>
      </c>
      <c r="K1899" s="14" t="str">
        <f>HYPERLINK("http://twitter.com","Twitter Web Client")</f>
        <v>Twitter Web Client</v>
      </c>
      <c r="L1899" s="13">
        <v>292</v>
      </c>
      <c r="M1899" s="13">
        <v>542</v>
      </c>
      <c r="N1899" s="13">
        <v>8</v>
      </c>
      <c r="O1899" s="15"/>
      <c r="P1899" s="6">
        <v>40803.64130787037</v>
      </c>
      <c r="Q1899" s="18" t="s">
        <v>42</v>
      </c>
      <c r="R1899" s="19" t="s">
        <v>2450</v>
      </c>
      <c r="S1899" s="11"/>
      <c r="T1899" s="11"/>
      <c r="U1899" s="10" t="str">
        <f>HYPERLINK("https://pbs.twimg.com/profile_images/707249729319669761/qWqiBM4j.jpg","View")</f>
        <v>View</v>
      </c>
    </row>
    <row r="1900" spans="1:21" ht="61.2">
      <c r="A1900" s="6">
        <v>43440.99763888889</v>
      </c>
      <c r="B1900" s="7" t="str">
        <f>HYPERLINK("https://twitter.com/santxita","@santxita")</f>
        <v>@santxita</v>
      </c>
      <c r="C1900" s="8" t="s">
        <v>6906</v>
      </c>
      <c r="D1900" s="9" t="s">
        <v>6907</v>
      </c>
      <c r="E1900" s="10" t="str">
        <f>HYPERLINK("https://twitter.com/santxita/status/1070814292948279296","1070814292948279296")</f>
        <v>1070814292948279296</v>
      </c>
      <c r="F1900" s="18" t="s">
        <v>6908</v>
      </c>
      <c r="G1900" s="11"/>
      <c r="H1900" s="11"/>
      <c r="I1900" s="13">
        <v>0</v>
      </c>
      <c r="J1900" s="13">
        <v>1</v>
      </c>
      <c r="K1900" s="14" t="str">
        <f>HYPERLINK("http://twitter.com/#!/download/ipad","Twitter for iPad")</f>
        <v>Twitter for iPad</v>
      </c>
      <c r="L1900" s="13">
        <v>110</v>
      </c>
      <c r="M1900" s="13">
        <v>250</v>
      </c>
      <c r="N1900" s="13">
        <v>0</v>
      </c>
      <c r="O1900" s="15"/>
      <c r="P1900" s="6">
        <v>40777.312002314815</v>
      </c>
      <c r="Q1900" s="18" t="s">
        <v>6909</v>
      </c>
      <c r="R1900" s="17"/>
      <c r="S1900" s="11"/>
      <c r="T1900" s="11"/>
      <c r="U1900" s="16" t="s">
        <v>191</v>
      </c>
    </row>
    <row r="1901" spans="1:21" ht="51">
      <c r="A1901" s="6">
        <v>43440.997604166667</v>
      </c>
      <c r="B1901" s="7" t="str">
        <f>HYPERLINK("https://twitter.com/ENGINEER_28","@ENGINEER_28")</f>
        <v>@ENGINEER_28</v>
      </c>
      <c r="C1901" s="8" t="s">
        <v>6238</v>
      </c>
      <c r="D1901" s="9" t="s">
        <v>6910</v>
      </c>
      <c r="E1901" s="10" t="str">
        <f>HYPERLINK("https://twitter.com/ENGINEER_28/status/1070814276749848581","1070814276749848581")</f>
        <v>1070814276749848581</v>
      </c>
      <c r="F1901" s="11"/>
      <c r="G1901" s="11"/>
      <c r="H1901" s="11"/>
      <c r="I1901" s="13">
        <v>2</v>
      </c>
      <c r="J1901" s="13">
        <v>7</v>
      </c>
      <c r="K1901" s="14" t="str">
        <f>HYPERLINK("http://twitter.com","Twitter Web Client")</f>
        <v>Twitter Web Client</v>
      </c>
      <c r="L1901" s="13">
        <v>5859</v>
      </c>
      <c r="M1901" s="13">
        <v>2752</v>
      </c>
      <c r="N1901" s="13">
        <v>86</v>
      </c>
      <c r="O1901" s="15"/>
      <c r="P1901" s="6">
        <v>40271.588877314818</v>
      </c>
      <c r="Q1901" s="11"/>
      <c r="R1901" s="19" t="s">
        <v>6239</v>
      </c>
      <c r="S1901" s="11"/>
      <c r="T1901" s="11"/>
      <c r="U1901" s="10" t="str">
        <f>HYPERLINK("https://pbs.twimg.com/profile_images/1069171213396787201/PFW_igss.jpg","View")</f>
        <v>View</v>
      </c>
    </row>
    <row r="1902" spans="1:21" ht="91.8">
      <c r="A1902" s="6">
        <v>43440.99591435185</v>
      </c>
      <c r="B1902" s="7" t="str">
        <f>HYPERLINK("https://twitter.com/CeldranJuana","@CeldranJuana")</f>
        <v>@CeldranJuana</v>
      </c>
      <c r="C1902" s="8" t="s">
        <v>6911</v>
      </c>
      <c r="D1902" s="9" t="s">
        <v>6912</v>
      </c>
      <c r="E1902" s="10" t="str">
        <f>HYPERLINK("https://twitter.com/CeldranJuana/status/1070813667808210944","1070813667808210944")</f>
        <v>1070813667808210944</v>
      </c>
      <c r="F1902" s="12" t="s">
        <v>3606</v>
      </c>
      <c r="G1902" s="12" t="s">
        <v>3607</v>
      </c>
      <c r="H1902" s="11"/>
      <c r="I1902" s="13">
        <v>0</v>
      </c>
      <c r="J1902" s="13">
        <v>1</v>
      </c>
      <c r="K1902" s="14" t="str">
        <f t="shared" ref="K1902:K1903" si="322">HYPERLINK("https://mobile.twitter.com","Twitter Lite")</f>
        <v>Twitter Lite</v>
      </c>
      <c r="L1902" s="13">
        <v>114</v>
      </c>
      <c r="M1902" s="13">
        <v>319</v>
      </c>
      <c r="N1902" s="13">
        <v>2</v>
      </c>
      <c r="O1902" s="15"/>
      <c r="P1902" s="6">
        <v>43187.925520833334</v>
      </c>
      <c r="Q1902" s="11"/>
      <c r="R1902" s="19" t="s">
        <v>6913</v>
      </c>
      <c r="S1902" s="11"/>
      <c r="T1902" s="11"/>
      <c r="U1902" s="10" t="str">
        <f>HYPERLINK("https://pbs.twimg.com/profile_images/1009502377437777925/wvaKtWBc.jpg","View")</f>
        <v>View</v>
      </c>
    </row>
    <row r="1903" spans="1:21" ht="71.400000000000006">
      <c r="A1903" s="6">
        <v>43440.994745370372</v>
      </c>
      <c r="B1903" s="7" t="str">
        <f>HYPERLINK("https://twitter.com/caldevk","@caldevk")</f>
        <v>@caldevk</v>
      </c>
      <c r="C1903" s="8" t="s">
        <v>6914</v>
      </c>
      <c r="D1903" s="9" t="s">
        <v>6915</v>
      </c>
      <c r="E1903" s="10" t="str">
        <f>HYPERLINK("https://twitter.com/caldevk/status/1070813243298459650","1070813243298459650")</f>
        <v>1070813243298459650</v>
      </c>
      <c r="F1903" s="18" t="s">
        <v>6916</v>
      </c>
      <c r="G1903" s="11"/>
      <c r="H1903" s="11"/>
      <c r="I1903" s="13">
        <v>0</v>
      </c>
      <c r="J1903" s="13">
        <v>2</v>
      </c>
      <c r="K1903" s="14" t="str">
        <f t="shared" si="322"/>
        <v>Twitter Lite</v>
      </c>
      <c r="L1903" s="13">
        <v>956</v>
      </c>
      <c r="M1903" s="13">
        <v>567</v>
      </c>
      <c r="N1903" s="13">
        <v>12</v>
      </c>
      <c r="O1903" s="15"/>
      <c r="P1903" s="6">
        <v>41093.840949074074</v>
      </c>
      <c r="Q1903" s="18" t="s">
        <v>6917</v>
      </c>
      <c r="R1903" s="19" t="s">
        <v>6918</v>
      </c>
      <c r="S1903" s="11"/>
      <c r="T1903" s="11"/>
      <c r="U1903" s="10" t="str">
        <f>HYPERLINK("https://pbs.twimg.com/profile_images/2507868228/7czwx8mehpzgealdcxxj.jpeg","View")</f>
        <v>View</v>
      </c>
    </row>
    <row r="1904" spans="1:21" ht="20.399999999999999">
      <c r="A1904" s="6">
        <v>43440.994687500002</v>
      </c>
      <c r="B1904" s="7" t="str">
        <f>HYPERLINK("https://twitter.com/JaimeBlanco67","@JaimeBlanco67")</f>
        <v>@JaimeBlanco67</v>
      </c>
      <c r="C1904" s="8" t="s">
        <v>6919</v>
      </c>
      <c r="D1904" s="9" t="s">
        <v>6920</v>
      </c>
      <c r="E1904" s="10" t="str">
        <f>HYPERLINK("https://twitter.com/JaimeBlanco67/status/1070813220330463232","1070813220330463232")</f>
        <v>1070813220330463232</v>
      </c>
      <c r="F1904" s="12" t="s">
        <v>6921</v>
      </c>
      <c r="G1904" s="11"/>
      <c r="H1904" s="11"/>
      <c r="I1904" s="13">
        <v>0</v>
      </c>
      <c r="J1904" s="13">
        <v>0</v>
      </c>
      <c r="K1904" s="14" t="str">
        <f>HYPERLINK("http://www.facebook.com/twitter","Facebook")</f>
        <v>Facebook</v>
      </c>
      <c r="L1904" s="13">
        <v>254</v>
      </c>
      <c r="M1904" s="13">
        <v>435</v>
      </c>
      <c r="N1904" s="13">
        <v>8</v>
      </c>
      <c r="O1904" s="15"/>
      <c r="P1904" s="6">
        <v>40851.602858796294</v>
      </c>
      <c r="Q1904" s="18" t="s">
        <v>6922</v>
      </c>
      <c r="R1904" s="19" t="s">
        <v>6923</v>
      </c>
      <c r="S1904" s="12" t="s">
        <v>6924</v>
      </c>
      <c r="T1904" s="11"/>
      <c r="U1904" s="10" t="str">
        <f>HYPERLINK("https://pbs.twimg.com/profile_images/1622435483/image.jpg","View")</f>
        <v>View</v>
      </c>
    </row>
    <row r="1905" spans="1:21" ht="20.399999999999999">
      <c r="A1905" s="6">
        <v>43440.994432870371</v>
      </c>
      <c r="B1905" s="7" t="str">
        <f>HYPERLINK("https://twitter.com/JuanUsategui","@JuanUsategui")</f>
        <v>@JuanUsategui</v>
      </c>
      <c r="C1905" s="8" t="s">
        <v>2674</v>
      </c>
      <c r="D1905" s="9" t="s">
        <v>6925</v>
      </c>
      <c r="E1905" s="10" t="str">
        <f>HYPERLINK("https://twitter.com/JuanUsategui/status/1070813128064147456","1070813128064147456")</f>
        <v>1070813128064147456</v>
      </c>
      <c r="F1905" s="11"/>
      <c r="G1905" s="12" t="s">
        <v>6926</v>
      </c>
      <c r="H1905" s="11"/>
      <c r="I1905" s="13">
        <v>0</v>
      </c>
      <c r="J1905" s="13">
        <v>0</v>
      </c>
      <c r="K1905" s="14" t="str">
        <f>HYPERLINK("http://twitter.com/#!/download/ipad","Twitter for iPad")</f>
        <v>Twitter for iPad</v>
      </c>
      <c r="L1905" s="13">
        <v>228</v>
      </c>
      <c r="M1905" s="13">
        <v>667</v>
      </c>
      <c r="N1905" s="13">
        <v>0</v>
      </c>
      <c r="O1905" s="15"/>
      <c r="P1905" s="6">
        <v>42428.040138888886</v>
      </c>
      <c r="Q1905" s="18" t="s">
        <v>173</v>
      </c>
      <c r="R1905" s="19" t="s">
        <v>2678</v>
      </c>
      <c r="S1905" s="11"/>
      <c r="T1905" s="11"/>
      <c r="U1905" s="10" t="str">
        <f>HYPERLINK("https://pbs.twimg.com/profile_images/704070459042762752/SxNaT3nk.jpg","View")</f>
        <v>View</v>
      </c>
    </row>
    <row r="1906" spans="1:21" ht="40.799999999999997">
      <c r="A1906" s="6">
        <v>43440.992210648154</v>
      </c>
      <c r="B1906" s="7" t="str">
        <f>HYPERLINK("https://twitter.com/xkaninchen","@xkaninchen")</f>
        <v>@xkaninchen</v>
      </c>
      <c r="C1906" s="8" t="s">
        <v>3732</v>
      </c>
      <c r="D1906" s="9" t="s">
        <v>3733</v>
      </c>
      <c r="E1906" s="10" t="str">
        <f>HYPERLINK("https://twitter.com/xkaninchen/status/1070812322535485441","1070812322535485441")</f>
        <v>1070812322535485441</v>
      </c>
      <c r="F1906" s="11"/>
      <c r="G1906" s="11"/>
      <c r="H1906" s="11"/>
      <c r="I1906" s="13">
        <v>0</v>
      </c>
      <c r="J1906" s="13">
        <v>0</v>
      </c>
      <c r="K1906" s="14" t="str">
        <f>HYPERLINK("http://twitter.com/download/android","Twitter for Android")</f>
        <v>Twitter for Android</v>
      </c>
      <c r="L1906" s="13">
        <v>25</v>
      </c>
      <c r="M1906" s="13">
        <v>130</v>
      </c>
      <c r="N1906" s="13">
        <v>0</v>
      </c>
      <c r="O1906" s="15"/>
      <c r="P1906" s="6">
        <v>43433.858460648145</v>
      </c>
      <c r="Q1906" s="18" t="s">
        <v>3736</v>
      </c>
      <c r="R1906" s="19" t="s">
        <v>3737</v>
      </c>
      <c r="S1906" s="11"/>
      <c r="T1906" s="11"/>
      <c r="U1906" s="10" t="str">
        <f>HYPERLINK("https://pbs.twimg.com/profile_images/1068235553005555714/8R7SqrkV.jpg","View")</f>
        <v>View</v>
      </c>
    </row>
    <row r="1907" spans="1:21" ht="20.399999999999999">
      <c r="A1907" s="6">
        <v>43440.991747685184</v>
      </c>
      <c r="B1907" s="7" t="str">
        <f>HYPERLINK("https://twitter.com/sumariumcom","@sumariumcom")</f>
        <v>@sumariumcom</v>
      </c>
      <c r="C1907" s="8" t="s">
        <v>4153</v>
      </c>
      <c r="D1907" s="9" t="s">
        <v>6927</v>
      </c>
      <c r="E1907" s="10" t="str">
        <f>HYPERLINK("https://twitter.com/sumariumcom/status/1070812156625604608","1070812156625604608")</f>
        <v>1070812156625604608</v>
      </c>
      <c r="F1907" s="12" t="s">
        <v>6928</v>
      </c>
      <c r="G1907" s="11"/>
      <c r="H1907" s="11"/>
      <c r="I1907" s="13">
        <v>0</v>
      </c>
      <c r="J1907" s="13">
        <v>2</v>
      </c>
      <c r="K1907" s="14" t="str">
        <f>HYPERLINK("https://about.twitter.com/products/tweetdeck","TweetDeck")</f>
        <v>TweetDeck</v>
      </c>
      <c r="L1907" s="13">
        <v>164401</v>
      </c>
      <c r="M1907" s="13">
        <v>996</v>
      </c>
      <c r="N1907" s="13">
        <v>1122</v>
      </c>
      <c r="O1907" s="15"/>
      <c r="P1907" s="6">
        <v>40977.809594907405</v>
      </c>
      <c r="Q1907" s="18" t="s">
        <v>4159</v>
      </c>
      <c r="R1907" s="17"/>
      <c r="S1907" s="12" t="s">
        <v>4160</v>
      </c>
      <c r="T1907" s="11"/>
      <c r="U1907" s="10" t="str">
        <f>HYPERLINK("https://pbs.twimg.com/profile_images/1061987847874469888/mok5IDTt.jpg","View")</f>
        <v>View</v>
      </c>
    </row>
    <row r="1908" spans="1:21" ht="91.8">
      <c r="A1908" s="6">
        <v>43440.991655092592</v>
      </c>
      <c r="B1908" s="7" t="str">
        <f>HYPERLINK("https://twitter.com/Antonio_Reolid","@Antonio_Reolid")</f>
        <v>@Antonio_Reolid</v>
      </c>
      <c r="C1908" s="8" t="s">
        <v>3739</v>
      </c>
      <c r="D1908" s="9" t="s">
        <v>3740</v>
      </c>
      <c r="E1908" s="10" t="str">
        <f>HYPERLINK("https://twitter.com/Antonio_Reolid/status/1070812122874068992","1070812122874068992")</f>
        <v>1070812122874068992</v>
      </c>
      <c r="F1908" s="18" t="s">
        <v>3742</v>
      </c>
      <c r="G1908" s="11"/>
      <c r="H1908" s="11"/>
      <c r="I1908" s="13">
        <v>1</v>
      </c>
      <c r="J1908" s="13">
        <v>1</v>
      </c>
      <c r="K1908" s="14" t="str">
        <f t="shared" ref="K1908:K1910" si="323">HYPERLINK("http://twitter.com","Twitter Web Client")</f>
        <v>Twitter Web Client</v>
      </c>
      <c r="L1908" s="13">
        <v>761</v>
      </c>
      <c r="M1908" s="13">
        <v>3299</v>
      </c>
      <c r="N1908" s="13">
        <v>1</v>
      </c>
      <c r="O1908" s="15"/>
      <c r="P1908" s="6">
        <v>43326.708773148144</v>
      </c>
      <c r="Q1908" s="18" t="s">
        <v>3743</v>
      </c>
      <c r="R1908" s="19" t="s">
        <v>3744</v>
      </c>
      <c r="S1908" s="11"/>
      <c r="T1908" s="11"/>
      <c r="U1908" s="10" t="str">
        <f>HYPERLINK("https://pbs.twimg.com/profile_images/1029382993788502016/0uQc2anI.jpg","View")</f>
        <v>View</v>
      </c>
    </row>
    <row r="1909" spans="1:21" ht="20.399999999999999">
      <c r="A1909" s="6">
        <v>43440.991539351853</v>
      </c>
      <c r="B1909" s="7" t="str">
        <f>HYPERLINK("https://twitter.com/cartuchopescao1","@cartuchopescao1")</f>
        <v>@cartuchopescao1</v>
      </c>
      <c r="C1909" s="8" t="s">
        <v>6930</v>
      </c>
      <c r="D1909" s="9" t="s">
        <v>6050</v>
      </c>
      <c r="E1909" s="10" t="str">
        <f>HYPERLINK("https://twitter.com/cartuchopescao1/status/1070812079614058497","1070812079614058497")</f>
        <v>1070812079614058497</v>
      </c>
      <c r="F1909" s="12" t="s">
        <v>6931</v>
      </c>
      <c r="G1909" s="11"/>
      <c r="H1909" s="11"/>
      <c r="I1909" s="13">
        <v>0</v>
      </c>
      <c r="J1909" s="13">
        <v>0</v>
      </c>
      <c r="K1909" s="14" t="str">
        <f t="shared" si="323"/>
        <v>Twitter Web Client</v>
      </c>
      <c r="L1909" s="13">
        <v>542</v>
      </c>
      <c r="M1909" s="13">
        <v>1100</v>
      </c>
      <c r="N1909" s="13">
        <v>6</v>
      </c>
      <c r="O1909" s="15"/>
      <c r="P1909" s="6">
        <v>41912.87226851852</v>
      </c>
      <c r="Q1909" s="18" t="s">
        <v>6932</v>
      </c>
      <c r="R1909" s="19" t="s">
        <v>6933</v>
      </c>
      <c r="S1909" s="11"/>
      <c r="T1909" s="11"/>
      <c r="U1909" s="10" t="str">
        <f>HYPERLINK("https://pbs.twimg.com/profile_images/886636838630436864/ehxkQI3V.jpg","View")</f>
        <v>View</v>
      </c>
    </row>
    <row r="1910" spans="1:21" ht="61.2">
      <c r="A1910" s="6">
        <v>43440.991111111114</v>
      </c>
      <c r="B1910" s="7" t="str">
        <f>HYPERLINK("https://twitter.com/noajida1","@noajida1")</f>
        <v>@noajida1</v>
      </c>
      <c r="C1910" s="8" t="s">
        <v>6934</v>
      </c>
      <c r="D1910" s="9" t="s">
        <v>6935</v>
      </c>
      <c r="E1910" s="10" t="str">
        <f>HYPERLINK("https://twitter.com/noajida1/status/1070811926396108801","1070811926396108801")</f>
        <v>1070811926396108801</v>
      </c>
      <c r="F1910" s="18" t="s">
        <v>6936</v>
      </c>
      <c r="G1910" s="11"/>
      <c r="H1910" s="11"/>
      <c r="I1910" s="13">
        <v>0</v>
      </c>
      <c r="J1910" s="13">
        <v>0</v>
      </c>
      <c r="K1910" s="14" t="str">
        <f t="shared" si="323"/>
        <v>Twitter Web Client</v>
      </c>
      <c r="L1910" s="13">
        <v>151</v>
      </c>
      <c r="M1910" s="13">
        <v>651</v>
      </c>
      <c r="N1910" s="13">
        <v>0</v>
      </c>
      <c r="O1910" s="15"/>
      <c r="P1910" s="6">
        <v>42047.808136574073</v>
      </c>
      <c r="Q1910" s="11"/>
      <c r="R1910" s="17"/>
      <c r="S1910" s="11"/>
      <c r="T1910" s="11"/>
      <c r="U1910" s="10" t="str">
        <f>HYPERLINK("https://pbs.twimg.com/profile_images/565939892140916736/rnxGfTqh.jpeg","View")</f>
        <v>View</v>
      </c>
    </row>
    <row r="1911" spans="1:21" ht="51">
      <c r="A1911" s="6">
        <v>43440.991053240738</v>
      </c>
      <c r="B1911" s="7" t="str">
        <f>HYPERLINK("https://twitter.com/PdeSamos","@PdeSamos")</f>
        <v>@PdeSamos</v>
      </c>
      <c r="C1911" s="8" t="s">
        <v>1432</v>
      </c>
      <c r="D1911" s="9" t="s">
        <v>6937</v>
      </c>
      <c r="E1911" s="10" t="str">
        <f>HYPERLINK("https://twitter.com/PdeSamos/status/1070811905164537857","1070811905164537857")</f>
        <v>1070811905164537857</v>
      </c>
      <c r="F1911" s="12" t="s">
        <v>6823</v>
      </c>
      <c r="G1911" s="11"/>
      <c r="H1911" s="11"/>
      <c r="I1911" s="13">
        <v>0</v>
      </c>
      <c r="J1911" s="13">
        <v>0</v>
      </c>
      <c r="K1911" s="14" t="str">
        <f>HYPERLINK("http://republico.ddns.net","App Libertad PdeSamos")</f>
        <v>App Libertad PdeSamos</v>
      </c>
      <c r="L1911" s="13">
        <v>5398</v>
      </c>
      <c r="M1911" s="13">
        <v>5441</v>
      </c>
      <c r="N1911" s="13">
        <v>12</v>
      </c>
      <c r="O1911" s="15"/>
      <c r="P1911" s="6">
        <v>42889.820567129631</v>
      </c>
      <c r="Q1911" s="18" t="s">
        <v>1336</v>
      </c>
      <c r="R1911" s="19" t="s">
        <v>1438</v>
      </c>
      <c r="S1911" s="11"/>
      <c r="T1911" s="11"/>
      <c r="U1911" s="10" t="str">
        <f>HYPERLINK("https://pbs.twimg.com/profile_images/871063742003511296/xK2IYbrO.jpg","View")</f>
        <v>View</v>
      </c>
    </row>
    <row r="1912" spans="1:21" ht="30.6">
      <c r="A1912" s="6">
        <v>43440.990428240737</v>
      </c>
      <c r="B1912" s="7" t="str">
        <f>HYPERLINK("https://twitter.com/Mikytoytoy","@Mikytoytoy")</f>
        <v>@Mikytoytoy</v>
      </c>
      <c r="C1912" s="8" t="s">
        <v>6938</v>
      </c>
      <c r="D1912" s="9" t="s">
        <v>6877</v>
      </c>
      <c r="E1912" s="10" t="str">
        <f>HYPERLINK("https://twitter.com/Mikytoytoy/status/1070811676763668480","1070811676763668480")</f>
        <v>1070811676763668480</v>
      </c>
      <c r="F1912" s="12" t="s">
        <v>707</v>
      </c>
      <c r="G1912" s="11"/>
      <c r="H1912" s="11"/>
      <c r="I1912" s="13">
        <v>0</v>
      </c>
      <c r="J1912" s="13">
        <v>0</v>
      </c>
      <c r="K1912" s="14" t="str">
        <f>HYPERLINK("http://www.facebook.com/twitter","Facebook")</f>
        <v>Facebook</v>
      </c>
      <c r="L1912" s="13">
        <v>224</v>
      </c>
      <c r="M1912" s="13">
        <v>593</v>
      </c>
      <c r="N1912" s="13">
        <v>10</v>
      </c>
      <c r="O1912" s="15"/>
      <c r="P1912" s="6">
        <v>40188.553842592592</v>
      </c>
      <c r="Q1912" s="18" t="s">
        <v>6940</v>
      </c>
      <c r="R1912" s="19" t="s">
        <v>6941</v>
      </c>
      <c r="S1912" s="12" t="s">
        <v>6942</v>
      </c>
      <c r="T1912" s="11"/>
      <c r="U1912" s="10" t="str">
        <f>HYPERLINK("https://pbs.twimg.com/profile_images/1069121889782636544/tIqOTAmE.jpg","View")</f>
        <v>View</v>
      </c>
    </row>
    <row r="1913" spans="1:21" ht="30.6">
      <c r="A1913" s="6">
        <v>43440.990312499998</v>
      </c>
      <c r="B1913" s="7" t="str">
        <f>HYPERLINK("https://twitter.com/bei_potterhead","@bei_potterhead")</f>
        <v>@bei_potterhead</v>
      </c>
      <c r="C1913" s="8" t="s">
        <v>6943</v>
      </c>
      <c r="D1913" s="9" t="s">
        <v>6944</v>
      </c>
      <c r="E1913" s="10" t="str">
        <f>HYPERLINK("https://twitter.com/bei_potterhead/status/1070811635613356034","1070811635613356034")</f>
        <v>1070811635613356034</v>
      </c>
      <c r="F1913" s="11"/>
      <c r="G1913" s="12" t="s">
        <v>6945</v>
      </c>
      <c r="H1913" s="11"/>
      <c r="I1913" s="13">
        <v>0</v>
      </c>
      <c r="J1913" s="13">
        <v>0</v>
      </c>
      <c r="K1913" s="14" t="str">
        <f t="shared" ref="K1913:K1914" si="324">HYPERLINK("http://twitter.com/download/android","Twitter for Android")</f>
        <v>Twitter for Android</v>
      </c>
      <c r="L1913" s="13">
        <v>497</v>
      </c>
      <c r="M1913" s="13">
        <v>672</v>
      </c>
      <c r="N1913" s="13">
        <v>18</v>
      </c>
      <c r="O1913" s="15"/>
      <c r="P1913" s="6">
        <v>40556.66369212963</v>
      </c>
      <c r="Q1913" s="18" t="s">
        <v>5301</v>
      </c>
      <c r="R1913" s="19" t="s">
        <v>6947</v>
      </c>
      <c r="S1913" s="12" t="s">
        <v>6948</v>
      </c>
      <c r="T1913" s="11"/>
      <c r="U1913" s="10" t="str">
        <f>HYPERLINK("https://pbs.twimg.com/profile_images/1057954850498068480/EQAdTmhq.jpg","View")</f>
        <v>View</v>
      </c>
    </row>
    <row r="1914" spans="1:21" ht="20.399999999999999">
      <c r="A1914" s="6">
        <v>43440.989166666666</v>
      </c>
      <c r="B1914" s="7" t="str">
        <f>HYPERLINK("https://twitter.com/Ifg2424","@Ifg2424")</f>
        <v>@Ifg2424</v>
      </c>
      <c r="C1914" s="8" t="s">
        <v>6950</v>
      </c>
      <c r="D1914" s="9" t="s">
        <v>6951</v>
      </c>
      <c r="E1914" s="10" t="str">
        <f>HYPERLINK("https://twitter.com/Ifg2424/status/1070811219987181568","1070811219987181568")</f>
        <v>1070811219987181568</v>
      </c>
      <c r="F1914" s="12" t="s">
        <v>6952</v>
      </c>
      <c r="G1914" s="11"/>
      <c r="H1914" s="11"/>
      <c r="I1914" s="13">
        <v>2</v>
      </c>
      <c r="J1914" s="13">
        <v>0</v>
      </c>
      <c r="K1914" s="14" t="str">
        <f t="shared" si="324"/>
        <v>Twitter for Android</v>
      </c>
      <c r="L1914" s="13">
        <v>1490</v>
      </c>
      <c r="M1914" s="13">
        <v>3304</v>
      </c>
      <c r="N1914" s="13">
        <v>1</v>
      </c>
      <c r="O1914" s="15"/>
      <c r="P1914" s="6">
        <v>42886.085115740745</v>
      </c>
      <c r="Q1914" s="11"/>
      <c r="R1914" s="17"/>
      <c r="S1914" s="11"/>
      <c r="T1914" s="11"/>
      <c r="U1914" s="10" t="str">
        <f>HYPERLINK("https://pbs.twimg.com/profile_images/869712003211952130/p1_B81ZT.jpg","View")</f>
        <v>View</v>
      </c>
    </row>
    <row r="1915" spans="1:21" ht="30.6">
      <c r="A1915" s="6">
        <v>43440.989108796297</v>
      </c>
      <c r="B1915" s="7" t="str">
        <f>HYPERLINK("https://twitter.com/Chuso9094","@Chuso9094")</f>
        <v>@Chuso9094</v>
      </c>
      <c r="C1915" s="8" t="s">
        <v>6953</v>
      </c>
      <c r="D1915" s="9" t="s">
        <v>5958</v>
      </c>
      <c r="E1915" s="10" t="str">
        <f>HYPERLINK("https://twitter.com/Chuso9094/status/1070811202132021253","1070811202132021253")</f>
        <v>1070811202132021253</v>
      </c>
      <c r="F1915" s="12" t="s">
        <v>5959</v>
      </c>
      <c r="G1915" s="11"/>
      <c r="H1915" s="11"/>
      <c r="I1915" s="13">
        <v>0</v>
      </c>
      <c r="J1915" s="13">
        <v>1</v>
      </c>
      <c r="K1915" s="14" t="str">
        <f>HYPERLINK("http://twitter.com","Twitter Web Client")</f>
        <v>Twitter Web Client</v>
      </c>
      <c r="L1915" s="13">
        <v>1184</v>
      </c>
      <c r="M1915" s="13">
        <v>2623</v>
      </c>
      <c r="N1915" s="13">
        <v>2</v>
      </c>
      <c r="O1915" s="15"/>
      <c r="P1915" s="6">
        <v>40207.84915509259</v>
      </c>
      <c r="Q1915" s="11"/>
      <c r="R1915" s="17"/>
      <c r="S1915" s="11"/>
      <c r="T1915" s="11"/>
      <c r="U1915" s="10" t="str">
        <f>HYPERLINK("https://pbs.twimg.com/profile_images/900007643057713152/ZTUh_LSu.jpg","View")</f>
        <v>View</v>
      </c>
    </row>
    <row r="1916" spans="1:21" ht="30.6">
      <c r="A1916" s="6">
        <v>43440.987766203703</v>
      </c>
      <c r="B1916" s="7" t="str">
        <f>HYPERLINK("https://twitter.com/Carmen06755533","@Carmen06755533")</f>
        <v>@Carmen06755533</v>
      </c>
      <c r="C1916" s="8" t="s">
        <v>3746</v>
      </c>
      <c r="D1916" s="9" t="s">
        <v>3747</v>
      </c>
      <c r="E1916" s="10" t="str">
        <f>HYPERLINK("https://twitter.com/Carmen06755533/status/1070810714812628996","1070810714812628996")</f>
        <v>1070810714812628996</v>
      </c>
      <c r="F1916" s="12" t="s">
        <v>3749</v>
      </c>
      <c r="G1916" s="11"/>
      <c r="H1916" s="11"/>
      <c r="I1916" s="13">
        <v>0</v>
      </c>
      <c r="J1916" s="13">
        <v>0</v>
      </c>
      <c r="K1916" s="14" t="str">
        <f>HYPERLINK("http://twitter.com/download/iphone","Twitter for iPhone")</f>
        <v>Twitter for iPhone</v>
      </c>
      <c r="L1916" s="13">
        <v>1405</v>
      </c>
      <c r="M1916" s="13">
        <v>1768</v>
      </c>
      <c r="N1916" s="13">
        <v>6</v>
      </c>
      <c r="O1916" s="15"/>
      <c r="P1916" s="6">
        <v>43226.966284722221</v>
      </c>
      <c r="Q1916" s="18" t="s">
        <v>3750</v>
      </c>
      <c r="R1916" s="19" t="s">
        <v>3751</v>
      </c>
      <c r="S1916" s="11"/>
      <c r="T1916" s="11"/>
      <c r="U1916" s="10" t="str">
        <f>HYPERLINK("https://pbs.twimg.com/profile_images/1056882931640291328/kU5PLmwJ.jpg","View")</f>
        <v>View</v>
      </c>
    </row>
    <row r="1917" spans="1:21" ht="51">
      <c r="A1917" s="6">
        <v>43440.986412037033</v>
      </c>
      <c r="B1917" s="7" t="str">
        <f>HYPERLINK("https://twitter.com/inmalsantos","@inmalsantos")</f>
        <v>@inmalsantos</v>
      </c>
      <c r="C1917" s="8" t="s">
        <v>183</v>
      </c>
      <c r="D1917" s="9" t="s">
        <v>3752</v>
      </c>
      <c r="E1917" s="10" t="str">
        <f>HYPERLINK("https://twitter.com/inmalsantos/status/1070810223236079621","1070810223236079621")</f>
        <v>1070810223236079621</v>
      </c>
      <c r="F1917" s="12" t="s">
        <v>3754</v>
      </c>
      <c r="G1917" s="11"/>
      <c r="H1917" s="11"/>
      <c r="I1917" s="13">
        <v>2</v>
      </c>
      <c r="J1917" s="13">
        <v>1</v>
      </c>
      <c r="K1917" s="14" t="str">
        <f t="shared" ref="K1917:K1919" si="325">HYPERLINK("http://twitter.com/download/android","Twitter for Android")</f>
        <v>Twitter for Android</v>
      </c>
      <c r="L1917" s="13">
        <v>223</v>
      </c>
      <c r="M1917" s="13">
        <v>917</v>
      </c>
      <c r="N1917" s="13">
        <v>0</v>
      </c>
      <c r="O1917" s="15"/>
      <c r="P1917" s="6">
        <v>41345.533634259264</v>
      </c>
      <c r="Q1917" s="18" t="s">
        <v>42</v>
      </c>
      <c r="R1917" s="19" t="s">
        <v>190</v>
      </c>
      <c r="S1917" s="11"/>
      <c r="T1917" s="11"/>
      <c r="U1917" s="16" t="s">
        <v>191</v>
      </c>
    </row>
    <row r="1918" spans="1:21" ht="40.799999999999997">
      <c r="A1918" s="6">
        <v>43440.986145833333</v>
      </c>
      <c r="B1918" s="7" t="str">
        <f>HYPERLINK("https://twitter.com/Fernandommesa","@Fernandommesa")</f>
        <v>@Fernandommesa</v>
      </c>
      <c r="C1918" s="8" t="s">
        <v>6954</v>
      </c>
      <c r="D1918" s="9" t="s">
        <v>6955</v>
      </c>
      <c r="E1918" s="10" t="str">
        <f>HYPERLINK("https://twitter.com/Fernandommesa/status/1070810126116900866","1070810126116900866")</f>
        <v>1070810126116900866</v>
      </c>
      <c r="F1918" s="11"/>
      <c r="G1918" s="12" t="s">
        <v>6956</v>
      </c>
      <c r="H1918" s="11"/>
      <c r="I1918" s="13">
        <v>0</v>
      </c>
      <c r="J1918" s="13">
        <v>0</v>
      </c>
      <c r="K1918" s="14" t="str">
        <f t="shared" si="325"/>
        <v>Twitter for Android</v>
      </c>
      <c r="L1918" s="13">
        <v>737</v>
      </c>
      <c r="M1918" s="13">
        <v>1142</v>
      </c>
      <c r="N1918" s="13">
        <v>28</v>
      </c>
      <c r="O1918" s="15"/>
      <c r="P1918" s="6">
        <v>40650.756064814814</v>
      </c>
      <c r="Q1918" s="18" t="s">
        <v>307</v>
      </c>
      <c r="R1918" s="19" t="s">
        <v>6957</v>
      </c>
      <c r="S1918" s="11"/>
      <c r="T1918" s="11"/>
      <c r="U1918" s="10" t="str">
        <f>HYPERLINK("https://pbs.twimg.com/profile_images/969877548963332096/qDGLSnjW.jpg","View")</f>
        <v>View</v>
      </c>
    </row>
    <row r="1919" spans="1:21" ht="102">
      <c r="A1919" s="6">
        <v>43440.986122685186</v>
      </c>
      <c r="B1919" s="7" t="str">
        <f>HYPERLINK("https://twitter.com/memoloamimismo1","@memoloamimismo1")</f>
        <v>@memoloamimismo1</v>
      </c>
      <c r="C1919" s="8" t="s">
        <v>6958</v>
      </c>
      <c r="D1919" s="9" t="s">
        <v>6959</v>
      </c>
      <c r="E1919" s="10" t="str">
        <f>HYPERLINK("https://twitter.com/memoloamimismo1/status/1070810117157867520","1070810117157867520")</f>
        <v>1070810117157867520</v>
      </c>
      <c r="F1919" s="18" t="s">
        <v>6960</v>
      </c>
      <c r="G1919" s="11"/>
      <c r="H1919" s="11"/>
      <c r="I1919" s="13">
        <v>0</v>
      </c>
      <c r="J1919" s="13">
        <v>0</v>
      </c>
      <c r="K1919" s="14" t="str">
        <f t="shared" si="325"/>
        <v>Twitter for Android</v>
      </c>
      <c r="L1919" s="13">
        <v>254</v>
      </c>
      <c r="M1919" s="13">
        <v>196</v>
      </c>
      <c r="N1919" s="13">
        <v>1</v>
      </c>
      <c r="O1919" s="15"/>
      <c r="P1919" s="6">
        <v>40949.509699074071</v>
      </c>
      <c r="Q1919" s="18" t="s">
        <v>6961</v>
      </c>
      <c r="R1919" s="19" t="s">
        <v>6962</v>
      </c>
      <c r="S1919" s="11"/>
      <c r="T1919" s="11"/>
      <c r="U1919" s="10" t="str">
        <f>HYPERLINK("https://pbs.twimg.com/profile_images/1069668803922006016/K8krNDUM.jpg","View")</f>
        <v>View</v>
      </c>
    </row>
    <row r="1920" spans="1:21" ht="30.6">
      <c r="A1920" s="6">
        <v>43440.985752314809</v>
      </c>
      <c r="B1920" s="7" t="str">
        <f>HYPERLINK("https://twitter.com/AndrsVali","@AndrsVali")</f>
        <v>@AndrsVali</v>
      </c>
      <c r="C1920" s="8" t="s">
        <v>3756</v>
      </c>
      <c r="D1920" s="9" t="s">
        <v>3757</v>
      </c>
      <c r="E1920" s="10" t="str">
        <f>HYPERLINK("https://twitter.com/AndrsVali/status/1070809985809113089","1070809985809113089")</f>
        <v>1070809985809113089</v>
      </c>
      <c r="F1920" s="12" t="s">
        <v>3758</v>
      </c>
      <c r="G1920" s="11"/>
      <c r="H1920" s="11"/>
      <c r="I1920" s="13">
        <v>0</v>
      </c>
      <c r="J1920" s="13">
        <v>2</v>
      </c>
      <c r="K1920" s="14" t="str">
        <f>HYPERLINK("http://twitter.com/download/iphone","Twitter for iPhone")</f>
        <v>Twitter for iPhone</v>
      </c>
      <c r="L1920" s="13">
        <v>391</v>
      </c>
      <c r="M1920" s="13">
        <v>435</v>
      </c>
      <c r="N1920" s="13">
        <v>4</v>
      </c>
      <c r="O1920" s="15"/>
      <c r="P1920" s="6">
        <v>41171.995451388888</v>
      </c>
      <c r="Q1920" s="18" t="s">
        <v>3762</v>
      </c>
      <c r="R1920" s="19" t="s">
        <v>3763</v>
      </c>
      <c r="S1920" s="11"/>
      <c r="T1920" s="11"/>
      <c r="U1920" s="10" t="str">
        <f>HYPERLINK("https://pbs.twimg.com/profile_images/1060914740380217345/9Vu0dSo-.jpg","View")</f>
        <v>View</v>
      </c>
    </row>
    <row r="1921" spans="1:21" ht="20.399999999999999">
      <c r="A1921" s="6">
        <v>43440.984907407408</v>
      </c>
      <c r="B1921" s="7" t="str">
        <f>HYPERLINK("https://twitter.com/Loboestepario22","@Loboestepario22")</f>
        <v>@Loboestepario22</v>
      </c>
      <c r="C1921" s="8" t="s">
        <v>6963</v>
      </c>
      <c r="D1921" s="9" t="s">
        <v>6964</v>
      </c>
      <c r="E1921" s="10" t="str">
        <f>HYPERLINK("https://twitter.com/Loboestepario22/status/1070809678974779392","1070809678974779392")</f>
        <v>1070809678974779392</v>
      </c>
      <c r="F1921" s="12" t="s">
        <v>6965</v>
      </c>
      <c r="G1921" s="11"/>
      <c r="H1921" s="11"/>
      <c r="I1921" s="13">
        <v>0</v>
      </c>
      <c r="J1921" s="13">
        <v>0</v>
      </c>
      <c r="K1921" s="14" t="str">
        <f>HYPERLINK("http://www.facebook.com/twitter","Facebook")</f>
        <v>Facebook</v>
      </c>
      <c r="L1921" s="13">
        <v>72</v>
      </c>
      <c r="M1921" s="13">
        <v>96</v>
      </c>
      <c r="N1921" s="13">
        <v>2</v>
      </c>
      <c r="O1921" s="15"/>
      <c r="P1921" s="6">
        <v>39918.454074074078</v>
      </c>
      <c r="Q1921" s="11"/>
      <c r="R1921" s="17"/>
      <c r="S1921" s="11"/>
      <c r="T1921" s="11"/>
      <c r="U1921" s="10" t="str">
        <f>HYPERLINK("https://pbs.twimg.com/profile_images/991075490210267137/kCJFyHcv.jpg","View")</f>
        <v>View</v>
      </c>
    </row>
    <row r="1922" spans="1:21" ht="20.399999999999999">
      <c r="A1922" s="6">
        <v>43440.983553240745</v>
      </c>
      <c r="B1922" s="7" t="str">
        <f>HYPERLINK("https://twitter.com/cucosolitario","@cucosolitario")</f>
        <v>@cucosolitario</v>
      </c>
      <c r="C1922" s="8" t="s">
        <v>621</v>
      </c>
      <c r="D1922" s="9" t="s">
        <v>4125</v>
      </c>
      <c r="E1922" s="10" t="str">
        <f>HYPERLINK("https://twitter.com/cucosolitario/status/1070809186500575234","1070809186500575234")</f>
        <v>1070809186500575234</v>
      </c>
      <c r="F1922" s="12" t="s">
        <v>4126</v>
      </c>
      <c r="G1922" s="11"/>
      <c r="H1922" s="11"/>
      <c r="I1922" s="13">
        <v>0</v>
      </c>
      <c r="J1922" s="13">
        <v>0</v>
      </c>
      <c r="K1922" s="14" t="str">
        <f>HYPERLINK("http://twitter.com/download/iphone","Twitter for iPhone")</f>
        <v>Twitter for iPhone</v>
      </c>
      <c r="L1922" s="13">
        <v>1806</v>
      </c>
      <c r="M1922" s="13">
        <v>2459</v>
      </c>
      <c r="N1922" s="13">
        <v>14</v>
      </c>
      <c r="O1922" s="15"/>
      <c r="P1922" s="6">
        <v>40545.962650462963</v>
      </c>
      <c r="Q1922" s="18" t="s">
        <v>6966</v>
      </c>
      <c r="R1922" s="19" t="s">
        <v>6967</v>
      </c>
      <c r="S1922" s="11"/>
      <c r="T1922" s="11"/>
      <c r="U1922" s="10" t="str">
        <f>HYPERLINK("https://pbs.twimg.com/profile_images/750594636155068417/SNTVpZEy.jpg","View")</f>
        <v>View</v>
      </c>
    </row>
    <row r="1923" spans="1:21" ht="20.399999999999999">
      <c r="A1923" s="6">
        <v>43440.983495370368</v>
      </c>
      <c r="B1923" s="7" t="str">
        <f>HYPERLINK("https://twitter.com/JM_Aroca","@JM_Aroca")</f>
        <v>@JM_Aroca</v>
      </c>
      <c r="C1923" s="8" t="s">
        <v>3765</v>
      </c>
      <c r="D1923" s="9" t="s">
        <v>3766</v>
      </c>
      <c r="E1923" s="10" t="str">
        <f>HYPERLINK("https://twitter.com/JM_Aroca/status/1070809165277347844","1070809165277347844")</f>
        <v>1070809165277347844</v>
      </c>
      <c r="F1923" s="11"/>
      <c r="G1923" s="11"/>
      <c r="H1923" s="11"/>
      <c r="I1923" s="13">
        <v>0</v>
      </c>
      <c r="J1923" s="13">
        <v>0</v>
      </c>
      <c r="K1923" s="14" t="str">
        <f>HYPERLINK("http://twitter.com/download/android","Twitter for Android")</f>
        <v>Twitter for Android</v>
      </c>
      <c r="L1923" s="13">
        <v>1459</v>
      </c>
      <c r="M1923" s="13">
        <v>2286</v>
      </c>
      <c r="N1923" s="13">
        <v>37</v>
      </c>
      <c r="O1923" s="15"/>
      <c r="P1923" s="6">
        <v>41087.615208333329</v>
      </c>
      <c r="Q1923" s="18" t="s">
        <v>3767</v>
      </c>
      <c r="R1923" s="19" t="s">
        <v>3768</v>
      </c>
      <c r="S1923" s="11"/>
      <c r="T1923" s="11"/>
      <c r="U1923" s="10" t="str">
        <f>HYPERLINK("https://pbs.twimg.com/profile_images/1042374652318937088/GoEqgXue.jpg","View")</f>
        <v>View</v>
      </c>
    </row>
    <row r="1924" spans="1:21" ht="40.799999999999997">
      <c r="A1924" s="6">
        <v>43440.982222222221</v>
      </c>
      <c r="B1924" s="7" t="str">
        <f>HYPERLINK("https://twitter.com/migupelo2","@migupelo2")</f>
        <v>@migupelo2</v>
      </c>
      <c r="C1924" s="8" t="s">
        <v>1976</v>
      </c>
      <c r="D1924" s="9" t="s">
        <v>3769</v>
      </c>
      <c r="E1924" s="10" t="str">
        <f>HYPERLINK("https://twitter.com/migupelo2/status/1070808706512838656","1070808706512838656")</f>
        <v>1070808706512838656</v>
      </c>
      <c r="F1924" s="12" t="s">
        <v>3770</v>
      </c>
      <c r="G1924" s="11"/>
      <c r="H1924" s="11"/>
      <c r="I1924" s="13">
        <v>0</v>
      </c>
      <c r="J1924" s="13">
        <v>0</v>
      </c>
      <c r="K1924" s="14" t="str">
        <f>HYPERLINK("http://twitter.com","Twitter Web Client")</f>
        <v>Twitter Web Client</v>
      </c>
      <c r="L1924" s="13">
        <v>266</v>
      </c>
      <c r="M1924" s="13">
        <v>771</v>
      </c>
      <c r="N1924" s="13">
        <v>18</v>
      </c>
      <c r="O1924" s="15"/>
      <c r="P1924" s="6">
        <v>40477.868043981478</v>
      </c>
      <c r="Q1924" s="11"/>
      <c r="R1924" s="19" t="s">
        <v>1980</v>
      </c>
      <c r="S1924" s="11"/>
      <c r="T1924" s="11"/>
      <c r="U1924" s="10" t="str">
        <f>HYPERLINK("https://pbs.twimg.com/profile_images/2906316440/4ed1570f50fd6f70f1b28d458997dd81.jpeg","View")</f>
        <v>View</v>
      </c>
    </row>
    <row r="1925" spans="1:21" ht="20.399999999999999">
      <c r="A1925" s="6">
        <v>43440.982060185182</v>
      </c>
      <c r="B1925" s="7" t="str">
        <f>HYPERLINK("https://twitter.com/GregoCasanova","@GregoCasanova")</f>
        <v>@GregoCasanova</v>
      </c>
      <c r="C1925" s="8" t="s">
        <v>3771</v>
      </c>
      <c r="D1925" s="9" t="s">
        <v>3772</v>
      </c>
      <c r="E1925" s="10" t="str">
        <f>HYPERLINK("https://twitter.com/GregoCasanova/status/1070808647637364736","1070808647637364736")</f>
        <v>1070808647637364736</v>
      </c>
      <c r="F1925" s="12" t="s">
        <v>3773</v>
      </c>
      <c r="G1925" s="11"/>
      <c r="H1925" s="11"/>
      <c r="I1925" s="13">
        <v>0</v>
      </c>
      <c r="J1925" s="13">
        <v>0</v>
      </c>
      <c r="K1925" s="14" t="str">
        <f>HYPERLINK("http://twitter.com/download/android","Twitter for Android")</f>
        <v>Twitter for Android</v>
      </c>
      <c r="L1925" s="13">
        <v>101</v>
      </c>
      <c r="M1925" s="13">
        <v>385</v>
      </c>
      <c r="N1925" s="13">
        <v>5</v>
      </c>
      <c r="O1925" s="15"/>
      <c r="P1925" s="6">
        <v>43048.94253472222</v>
      </c>
      <c r="Q1925" s="18" t="s">
        <v>3774</v>
      </c>
      <c r="R1925" s="19" t="s">
        <v>3775</v>
      </c>
      <c r="S1925" s="11"/>
      <c r="T1925" s="11"/>
      <c r="U1925" s="10" t="str">
        <f>HYPERLINK("https://pbs.twimg.com/profile_images/928743369924325376/SOOxe0Gb.jpg","View")</f>
        <v>View</v>
      </c>
    </row>
    <row r="1926" spans="1:21" ht="30.6">
      <c r="A1926" s="6">
        <v>43440.981817129628</v>
      </c>
      <c r="B1926" s="7" t="str">
        <f>HYPERLINK("https://twitter.com/diego_armand2","@diego_armand2")</f>
        <v>@diego_armand2</v>
      </c>
      <c r="C1926" s="8" t="s">
        <v>6968</v>
      </c>
      <c r="D1926" s="9" t="s">
        <v>1002</v>
      </c>
      <c r="E1926" s="10" t="str">
        <f>HYPERLINK("https://twitter.com/diego_armand2/status/1070808558156029952","1070808558156029952")</f>
        <v>1070808558156029952</v>
      </c>
      <c r="F1926" s="12" t="s">
        <v>1004</v>
      </c>
      <c r="G1926" s="11"/>
      <c r="H1926" s="11"/>
      <c r="I1926" s="13">
        <v>0</v>
      </c>
      <c r="J1926" s="13">
        <v>0</v>
      </c>
      <c r="K1926" s="14" t="str">
        <f>HYPERLINK("https://www.google.com/","Google")</f>
        <v>Google</v>
      </c>
      <c r="L1926" s="13">
        <v>304</v>
      </c>
      <c r="M1926" s="13">
        <v>199</v>
      </c>
      <c r="N1926" s="13">
        <v>21</v>
      </c>
      <c r="O1926" s="15"/>
      <c r="P1926" s="6">
        <v>41224.33353009259</v>
      </c>
      <c r="Q1926" s="18" t="s">
        <v>6969</v>
      </c>
      <c r="R1926" s="19" t="s">
        <v>6970</v>
      </c>
      <c r="S1926" s="12" t="s">
        <v>6971</v>
      </c>
      <c r="T1926" s="11"/>
      <c r="U1926" s="10" t="str">
        <f>HYPERLINK("https://pbs.twimg.com/profile_images/948821480430817280/ylOOc2jp.jpg","View")</f>
        <v>View</v>
      </c>
    </row>
    <row r="1927" spans="1:21" ht="61.2">
      <c r="A1927" s="6">
        <v>43440.98159722222</v>
      </c>
      <c r="B1927" s="7" t="str">
        <f>HYPERLINK("https://twitter.com/CCrocketta","@CCrocketta")</f>
        <v>@CCrocketta</v>
      </c>
      <c r="C1927" s="8" t="s">
        <v>3776</v>
      </c>
      <c r="D1927" s="9" t="s">
        <v>3777</v>
      </c>
      <c r="E1927" s="10" t="str">
        <f>HYPERLINK("https://twitter.com/CCrocketta/status/1070808476157444096","1070808476157444096")</f>
        <v>1070808476157444096</v>
      </c>
      <c r="F1927" s="12" t="s">
        <v>3778</v>
      </c>
      <c r="G1927" s="12" t="s">
        <v>3779</v>
      </c>
      <c r="H1927" s="11"/>
      <c r="I1927" s="13">
        <v>3</v>
      </c>
      <c r="J1927" s="13">
        <v>4</v>
      </c>
      <c r="K1927" s="14" t="str">
        <f>HYPERLINK("http://twitter.com/download/android","Twitter for Android")</f>
        <v>Twitter for Android</v>
      </c>
      <c r="L1927" s="13">
        <v>114</v>
      </c>
      <c r="M1927" s="13">
        <v>162</v>
      </c>
      <c r="N1927" s="13">
        <v>4</v>
      </c>
      <c r="O1927" s="15"/>
      <c r="P1927" s="6">
        <v>43357.833784722221</v>
      </c>
      <c r="Q1927" s="18" t="s">
        <v>41</v>
      </c>
      <c r="R1927" s="19" t="s">
        <v>3780</v>
      </c>
      <c r="S1927" s="11"/>
      <c r="T1927" s="11"/>
      <c r="U1927" s="10" t="str">
        <f>HYPERLINK("https://pbs.twimg.com/profile_images/1070445411490521088/dOS0An-A.jpg","View")</f>
        <v>View</v>
      </c>
    </row>
    <row r="1928" spans="1:21" ht="20.399999999999999">
      <c r="A1928" s="6">
        <v>43440.981180555551</v>
      </c>
      <c r="B1928" s="7" t="str">
        <f>HYPERLINK("https://twitter.com/ijmarti","@ijmarti")</f>
        <v>@ijmarti</v>
      </c>
      <c r="C1928" s="8" t="s">
        <v>6972</v>
      </c>
      <c r="D1928" s="9" t="s">
        <v>6973</v>
      </c>
      <c r="E1928" s="10" t="str">
        <f>HYPERLINK("https://twitter.com/ijmarti/status/1070808325628006400","1070808325628006400")</f>
        <v>1070808325628006400</v>
      </c>
      <c r="F1928" s="12" t="s">
        <v>6482</v>
      </c>
      <c r="G1928" s="11"/>
      <c r="H1928" s="11"/>
      <c r="I1928" s="13">
        <v>0</v>
      </c>
      <c r="J1928" s="13">
        <v>0</v>
      </c>
      <c r="K1928" s="14" t="str">
        <f>HYPERLINK("https://www.google.com/","Google")</f>
        <v>Google</v>
      </c>
      <c r="L1928" s="13">
        <v>10</v>
      </c>
      <c r="M1928" s="13">
        <v>14</v>
      </c>
      <c r="N1928" s="13">
        <v>0</v>
      </c>
      <c r="O1928" s="15"/>
      <c r="P1928" s="6">
        <v>40297.838067129633</v>
      </c>
      <c r="Q1928" s="11"/>
      <c r="R1928" s="17"/>
      <c r="S1928" s="11"/>
      <c r="T1928" s="11"/>
      <c r="U1928" s="10" t="str">
        <f>HYPERLINK("https://pbs.twimg.com/profile_images/1523544915/photo","View")</f>
        <v>View</v>
      </c>
    </row>
    <row r="1929" spans="1:21" ht="20.399999999999999">
      <c r="A1929" s="6">
        <v>43440.978495370371</v>
      </c>
      <c r="B1929" s="7" t="str">
        <f>HYPERLINK("https://twitter.com/SrHaddok","@SrHaddok")</f>
        <v>@SrHaddok</v>
      </c>
      <c r="C1929" s="8" t="s">
        <v>6974</v>
      </c>
      <c r="D1929" s="9" t="s">
        <v>6975</v>
      </c>
      <c r="E1929" s="10" t="str">
        <f>HYPERLINK("https://twitter.com/SrHaddok/status/1070807356047572992","1070807356047572992")</f>
        <v>1070807356047572992</v>
      </c>
      <c r="F1929" s="12" t="s">
        <v>3773</v>
      </c>
      <c r="G1929" s="11"/>
      <c r="H1929" s="11"/>
      <c r="I1929" s="13">
        <v>0</v>
      </c>
      <c r="J1929" s="13">
        <v>0</v>
      </c>
      <c r="K1929" s="14" t="str">
        <f>HYPERLINK("http://twitter.com/#!/download/ipad","Twitter for iPad")</f>
        <v>Twitter for iPad</v>
      </c>
      <c r="L1929" s="13">
        <v>160</v>
      </c>
      <c r="M1929" s="13">
        <v>168</v>
      </c>
      <c r="N1929" s="13">
        <v>1</v>
      </c>
      <c r="O1929" s="15"/>
      <c r="P1929" s="6">
        <v>43201.712708333333</v>
      </c>
      <c r="Q1929" s="11"/>
      <c r="R1929" s="19" t="s">
        <v>6976</v>
      </c>
      <c r="S1929" s="11"/>
      <c r="T1929" s="11"/>
      <c r="U1929" s="10" t="str">
        <f>HYPERLINK("https://pbs.twimg.com/profile_images/988349372336402432/X_4fgYcO.jpg","View")</f>
        <v>View</v>
      </c>
    </row>
    <row r="1930" spans="1:21" ht="40.799999999999997">
      <c r="A1930" s="6">
        <v>43440.977881944447</v>
      </c>
      <c r="B1930" s="7" t="str">
        <f>HYPERLINK("https://twitter.com/tio_chabo","@tio_chabo")</f>
        <v>@tio_chabo</v>
      </c>
      <c r="C1930" s="8" t="s">
        <v>3331</v>
      </c>
      <c r="D1930" s="9" t="s">
        <v>6340</v>
      </c>
      <c r="E1930" s="10" t="str">
        <f>HYPERLINK("https://twitter.com/tio_chabo/status/1070807132033966083","1070807132033966083")</f>
        <v>1070807132033966083</v>
      </c>
      <c r="F1930" s="12" t="s">
        <v>6408</v>
      </c>
      <c r="G1930" s="11"/>
      <c r="H1930" s="11"/>
      <c r="I1930" s="13">
        <v>0</v>
      </c>
      <c r="J1930" s="13">
        <v>0</v>
      </c>
      <c r="K1930" s="14" t="str">
        <f>HYPERLINK("https://ifttt.com","IFTTT")</f>
        <v>IFTTT</v>
      </c>
      <c r="L1930" s="13">
        <v>3112</v>
      </c>
      <c r="M1930" s="13">
        <v>3722</v>
      </c>
      <c r="N1930" s="13">
        <v>68</v>
      </c>
      <c r="O1930" s="15"/>
      <c r="P1930" s="6">
        <v>40964.769629629627</v>
      </c>
      <c r="Q1930" s="18" t="s">
        <v>3332</v>
      </c>
      <c r="R1930" s="19" t="s">
        <v>3333</v>
      </c>
      <c r="S1930" s="12" t="s">
        <v>3334</v>
      </c>
      <c r="T1930" s="11"/>
      <c r="U1930" s="10" t="str">
        <f>HYPERLINK("https://pbs.twimg.com/profile_images/837040061870833666/XUkKbbB4.jpg","View")</f>
        <v>View</v>
      </c>
    </row>
    <row r="1931" spans="1:21" ht="71.400000000000006">
      <c r="A1931" s="6">
        <v>43440.977106481485</v>
      </c>
      <c r="B1931" s="7" t="str">
        <f>HYPERLINK("https://twitter.com/azotedelmonguer","@azotedelmonguer")</f>
        <v>@azotedelmonguer</v>
      </c>
      <c r="C1931" s="8" t="s">
        <v>3783</v>
      </c>
      <c r="D1931" s="9" t="s">
        <v>3784</v>
      </c>
      <c r="E1931" s="10" t="str">
        <f>HYPERLINK("https://twitter.com/azotedelmonguer/status/1070806848679411713","1070806848679411713")</f>
        <v>1070806848679411713</v>
      </c>
      <c r="F1931" s="12" t="s">
        <v>3785</v>
      </c>
      <c r="G1931" s="12" t="s">
        <v>3786</v>
      </c>
      <c r="H1931" s="11"/>
      <c r="I1931" s="13">
        <v>0</v>
      </c>
      <c r="J1931" s="13">
        <v>0</v>
      </c>
      <c r="K1931" s="14" t="str">
        <f>HYPERLINK("http://twitter.com/download/android","Twitter for Android")</f>
        <v>Twitter for Android</v>
      </c>
      <c r="L1931" s="13">
        <v>134</v>
      </c>
      <c r="M1931" s="13">
        <v>138</v>
      </c>
      <c r="N1931" s="13">
        <v>4</v>
      </c>
      <c r="O1931" s="15"/>
      <c r="P1931" s="6">
        <v>42982.114178240736</v>
      </c>
      <c r="Q1931" s="11"/>
      <c r="R1931" s="19" t="s">
        <v>3787</v>
      </c>
      <c r="S1931" s="11"/>
      <c r="T1931" s="11"/>
      <c r="U1931" s="10" t="str">
        <f>HYPERLINK("https://pbs.twimg.com/profile_images/999641268853485569/st2cULrx.jpg","View")</f>
        <v>View</v>
      </c>
    </row>
    <row r="1932" spans="1:21" ht="20.399999999999999">
      <c r="A1932" s="6">
        <v>43440.977013888885</v>
      </c>
      <c r="B1932" s="7" t="str">
        <f>HYPERLINK("https://twitter.com/AnitaMisteriosa","@AnitaMisteriosa")</f>
        <v>@AnitaMisteriosa</v>
      </c>
      <c r="C1932" s="8" t="s">
        <v>6977</v>
      </c>
      <c r="D1932" s="9" t="s">
        <v>2453</v>
      </c>
      <c r="E1932" s="10" t="str">
        <f>HYPERLINK("https://twitter.com/AnitaMisteriosa/status/1070806819155660800","1070806819155660800")</f>
        <v>1070806819155660800</v>
      </c>
      <c r="F1932" s="12" t="s">
        <v>2454</v>
      </c>
      <c r="G1932" s="11"/>
      <c r="H1932" s="11"/>
      <c r="I1932" s="13">
        <v>0</v>
      </c>
      <c r="J1932" s="13">
        <v>0</v>
      </c>
      <c r="K1932" s="14" t="str">
        <f>HYPERLINK("https://www.google.com/","Google")</f>
        <v>Google</v>
      </c>
      <c r="L1932" s="13">
        <v>4</v>
      </c>
      <c r="M1932" s="13">
        <v>9</v>
      </c>
      <c r="N1932" s="13">
        <v>0</v>
      </c>
      <c r="O1932" s="15"/>
      <c r="P1932" s="6">
        <v>41433.812291666669</v>
      </c>
      <c r="Q1932" s="18" t="s">
        <v>6978</v>
      </c>
      <c r="R1932" s="19" t="s">
        <v>6979</v>
      </c>
      <c r="S1932" s="12" t="s">
        <v>6980</v>
      </c>
      <c r="T1932" s="11"/>
      <c r="U1932" s="10" t="str">
        <f>HYPERLINK("https://pbs.twimg.com/profile_images/3772604772/14899b3d94be5c46631d8186d89723cb.jpeg","View")</f>
        <v>View</v>
      </c>
    </row>
    <row r="1933" spans="1:21" ht="20.399999999999999">
      <c r="A1933" s="6">
        <v>43440.976886574077</v>
      </c>
      <c r="B1933" s="7" t="str">
        <f>HYPERLINK("https://twitter.com/sumariumcom","@sumariumcom")</f>
        <v>@sumariumcom</v>
      </c>
      <c r="C1933" s="8" t="s">
        <v>4153</v>
      </c>
      <c r="D1933" s="9" t="s">
        <v>6640</v>
      </c>
      <c r="E1933" s="10" t="str">
        <f>HYPERLINK("https://twitter.com/sumariumcom/status/1070806769759387649","1070806769759387649")</f>
        <v>1070806769759387649</v>
      </c>
      <c r="F1933" s="12" t="s">
        <v>6641</v>
      </c>
      <c r="G1933" s="11"/>
      <c r="H1933" s="11"/>
      <c r="I1933" s="13">
        <v>0</v>
      </c>
      <c r="J1933" s="13">
        <v>0</v>
      </c>
      <c r="K1933" s="14" t="str">
        <f>HYPERLINK("https://about.twitter.com/products/tweetdeck","TweetDeck")</f>
        <v>TweetDeck</v>
      </c>
      <c r="L1933" s="13">
        <v>164401</v>
      </c>
      <c r="M1933" s="13">
        <v>996</v>
      </c>
      <c r="N1933" s="13">
        <v>1122</v>
      </c>
      <c r="O1933" s="15"/>
      <c r="P1933" s="6">
        <v>40977.809594907405</v>
      </c>
      <c r="Q1933" s="18" t="s">
        <v>4159</v>
      </c>
      <c r="R1933" s="17"/>
      <c r="S1933" s="12" t="s">
        <v>4160</v>
      </c>
      <c r="T1933" s="11"/>
      <c r="U1933" s="10" t="str">
        <f>HYPERLINK("https://pbs.twimg.com/profile_images/1061987847874469888/mok5IDTt.jpg","View")</f>
        <v>View</v>
      </c>
    </row>
    <row r="1934" spans="1:21" ht="61.2">
      <c r="A1934" s="6">
        <v>43440.975810185184</v>
      </c>
      <c r="B1934" s="7" t="str">
        <f>HYPERLINK("https://twitter.com/JuntosXBolivia","@JuntosXBolivia")</f>
        <v>@JuntosXBolivia</v>
      </c>
      <c r="C1934" s="8" t="s">
        <v>3789</v>
      </c>
      <c r="D1934" s="9" t="s">
        <v>3790</v>
      </c>
      <c r="E1934" s="10" t="str">
        <f>HYPERLINK("https://twitter.com/JuntosXBolivia/status/1070806379001188353","1070806379001188353")</f>
        <v>1070806379001188353</v>
      </c>
      <c r="F1934" s="11"/>
      <c r="G1934" s="12" t="s">
        <v>3793</v>
      </c>
      <c r="H1934" s="11"/>
      <c r="I1934" s="13">
        <v>1</v>
      </c>
      <c r="J1934" s="13">
        <v>3</v>
      </c>
      <c r="K1934" s="14" t="str">
        <f>HYPERLINK("http://twitter.com/download/iphone","Twitter for iPhone")</f>
        <v>Twitter for iPhone</v>
      </c>
      <c r="L1934" s="13">
        <v>16</v>
      </c>
      <c r="M1934" s="13">
        <v>75</v>
      </c>
      <c r="N1934" s="13">
        <v>0</v>
      </c>
      <c r="O1934" s="15"/>
      <c r="P1934" s="6">
        <v>43100.114224537036</v>
      </c>
      <c r="Q1934" s="11"/>
      <c r="R1934" s="17"/>
      <c r="S1934" s="11"/>
      <c r="T1934" s="11"/>
      <c r="U1934" s="10" t="str">
        <f>HYPERLINK("https://pbs.twimg.com/profile_images/947681155687567360/6LKMJ-tQ.jpg","View")</f>
        <v>View</v>
      </c>
    </row>
    <row r="1935" spans="1:21" ht="51">
      <c r="A1935" s="6">
        <v>43440.975127314814</v>
      </c>
      <c r="B1935" s="7" t="str">
        <f>HYPERLINK("https://twitter.com/Abel_Franc","@Abel_Franc")</f>
        <v>@Abel_Franc</v>
      </c>
      <c r="C1935" s="8" t="s">
        <v>3531</v>
      </c>
      <c r="D1935" s="9" t="s">
        <v>3795</v>
      </c>
      <c r="E1935" s="10" t="str">
        <f>HYPERLINK("https://twitter.com/Abel_Franc/status/1070806132917235714","1070806132917235714")</f>
        <v>1070806132917235714</v>
      </c>
      <c r="F1935" s="11"/>
      <c r="G1935" s="11"/>
      <c r="H1935" s="11"/>
      <c r="I1935" s="13">
        <v>0</v>
      </c>
      <c r="J1935" s="13">
        <v>0</v>
      </c>
      <c r="K1935" s="14" t="str">
        <f t="shared" ref="K1935:K1936" si="326">HYPERLINK("http://twitter.com/download/android","Twitter for Android")</f>
        <v>Twitter for Android</v>
      </c>
      <c r="L1935" s="13">
        <v>1552</v>
      </c>
      <c r="M1935" s="13">
        <v>2171</v>
      </c>
      <c r="N1935" s="13">
        <v>25</v>
      </c>
      <c r="O1935" s="15"/>
      <c r="P1935" s="6">
        <v>40669.533275462964</v>
      </c>
      <c r="Q1935" s="18" t="s">
        <v>3533</v>
      </c>
      <c r="R1935" s="19" t="s">
        <v>3534</v>
      </c>
      <c r="S1935" s="12" t="s">
        <v>3535</v>
      </c>
      <c r="T1935" s="11"/>
      <c r="U1935" s="10" t="str">
        <f>HYPERLINK("https://pbs.twimg.com/profile_images/1024355260800946179/0-gf4ZgV.jpg","View")</f>
        <v>View</v>
      </c>
    </row>
    <row r="1936" spans="1:21" ht="40.799999999999997">
      <c r="A1936" s="6">
        <v>43440.974270833336</v>
      </c>
      <c r="B1936" s="7" t="str">
        <f>HYPERLINK("https://twitter.com/mmmbango","@mmmbango")</f>
        <v>@mmmbango</v>
      </c>
      <c r="C1936" s="8" t="s">
        <v>4683</v>
      </c>
      <c r="D1936" s="9" t="s">
        <v>6981</v>
      </c>
      <c r="E1936" s="10" t="str">
        <f>HYPERLINK("https://twitter.com/mmmbango/status/1070805822811320320","1070805822811320320")</f>
        <v>1070805822811320320</v>
      </c>
      <c r="F1936" s="12" t="s">
        <v>6982</v>
      </c>
      <c r="G1936" s="11"/>
      <c r="H1936" s="11"/>
      <c r="I1936" s="13">
        <v>2</v>
      </c>
      <c r="J1936" s="13">
        <v>1</v>
      </c>
      <c r="K1936" s="14" t="str">
        <f t="shared" si="326"/>
        <v>Twitter for Android</v>
      </c>
      <c r="L1936" s="13">
        <v>6691</v>
      </c>
      <c r="M1936" s="13">
        <v>4488</v>
      </c>
      <c r="N1936" s="13">
        <v>69</v>
      </c>
      <c r="O1936" s="15"/>
      <c r="P1936" s="6">
        <v>41521.720983796295</v>
      </c>
      <c r="Q1936" s="18" t="s">
        <v>4685</v>
      </c>
      <c r="R1936" s="19" t="s">
        <v>4686</v>
      </c>
      <c r="S1936" s="12" t="s">
        <v>4687</v>
      </c>
      <c r="T1936" s="11"/>
      <c r="U1936" s="10" t="str">
        <f>HYPERLINK("https://pbs.twimg.com/profile_images/855523465796964352/PuP44M-h.jpg","View")</f>
        <v>View</v>
      </c>
    </row>
    <row r="1937" spans="1:21" ht="20.399999999999999">
      <c r="A1937" s="6">
        <v>43440.973298611112</v>
      </c>
      <c r="B1937" s="7" t="str">
        <f>HYPERLINK("https://twitter.com/Granvilas","@Granvilas")</f>
        <v>@Granvilas</v>
      </c>
      <c r="C1937" s="8" t="s">
        <v>6983</v>
      </c>
      <c r="D1937" s="9" t="s">
        <v>6984</v>
      </c>
      <c r="E1937" s="10" t="str">
        <f>HYPERLINK("https://twitter.com/Granvilas/status/1070805469436858368","1070805469436858368")</f>
        <v>1070805469436858368</v>
      </c>
      <c r="F1937" s="12" t="s">
        <v>4680</v>
      </c>
      <c r="G1937" s="11"/>
      <c r="H1937" s="11"/>
      <c r="I1937" s="13">
        <v>0</v>
      </c>
      <c r="J1937" s="13">
        <v>1</v>
      </c>
      <c r="K1937" s="14" t="str">
        <f>HYPERLINK("http://twitter.com","Twitter Web Client")</f>
        <v>Twitter Web Client</v>
      </c>
      <c r="L1937" s="13">
        <v>6033</v>
      </c>
      <c r="M1937" s="13">
        <v>838</v>
      </c>
      <c r="N1937" s="13">
        <v>96</v>
      </c>
      <c r="O1937" s="15"/>
      <c r="P1937" s="6">
        <v>41134.758680555555</v>
      </c>
      <c r="Q1937" s="11"/>
      <c r="R1937" s="19" t="s">
        <v>6985</v>
      </c>
      <c r="S1937" s="12" t="s">
        <v>6986</v>
      </c>
      <c r="T1937" s="11"/>
      <c r="U1937" s="10" t="str">
        <f>HYPERLINK("https://pbs.twimg.com/profile_images/796666742416310273/iH3hZv5f.jpg","View")</f>
        <v>View</v>
      </c>
    </row>
    <row r="1938" spans="1:21" ht="40.799999999999997">
      <c r="A1938" s="6">
        <v>43440.972997685181</v>
      </c>
      <c r="B1938" s="7" t="str">
        <f>HYPERLINK("https://twitter.com/pedroj_markov","@pedroj_markov")</f>
        <v>@pedroj_markov</v>
      </c>
      <c r="C1938" s="8" t="s">
        <v>6987</v>
      </c>
      <c r="D1938" s="9" t="s">
        <v>6988</v>
      </c>
      <c r="E1938" s="10" t="str">
        <f>HYPERLINK("https://twitter.com/pedroj_markov/status/1070805361207246848","1070805361207246848")</f>
        <v>1070805361207246848</v>
      </c>
      <c r="F1938" s="11"/>
      <c r="G1938" s="11"/>
      <c r="H1938" s="11"/>
      <c r="I1938" s="13">
        <v>0</v>
      </c>
      <c r="J1938" s="13">
        <v>0</v>
      </c>
      <c r="K1938" s="14" t="str">
        <f>HYPERLINK("http://twitter.com/","Markov Pedro")</f>
        <v>Markov Pedro</v>
      </c>
      <c r="L1938" s="13">
        <v>416</v>
      </c>
      <c r="M1938" s="13">
        <v>825</v>
      </c>
      <c r="N1938" s="13">
        <v>1</v>
      </c>
      <c r="O1938" s="15"/>
      <c r="P1938" s="6">
        <v>42612.584618055553</v>
      </c>
      <c r="Q1938" s="18" t="s">
        <v>41</v>
      </c>
      <c r="R1938" s="19" t="s">
        <v>6990</v>
      </c>
      <c r="S1938" s="12" t="s">
        <v>6991</v>
      </c>
      <c r="T1938" s="11"/>
      <c r="U1938" s="10" t="str">
        <f>HYPERLINK("https://pbs.twimg.com/profile_images/770592783866425345/MiPpXJia.jpg","View")</f>
        <v>View</v>
      </c>
    </row>
    <row r="1939" spans="1:21" ht="40.799999999999997">
      <c r="A1939" s="6">
        <v>43440.971689814818</v>
      </c>
      <c r="B1939" s="7" t="str">
        <f>HYPERLINK("https://twitter.com/ElAngelFacha","@ElAngelFacha")</f>
        <v>@ElAngelFacha</v>
      </c>
      <c r="C1939" s="8" t="s">
        <v>1970</v>
      </c>
      <c r="D1939" s="9" t="s">
        <v>3829</v>
      </c>
      <c r="E1939" s="10" t="str">
        <f>HYPERLINK("https://twitter.com/ElAngelFacha/status/1070804888517517312","1070804888517517312")</f>
        <v>1070804888517517312</v>
      </c>
      <c r="F1939" s="12" t="s">
        <v>3831</v>
      </c>
      <c r="G1939" s="11"/>
      <c r="H1939" s="11"/>
      <c r="I1939" s="13">
        <v>27</v>
      </c>
      <c r="J1939" s="13">
        <v>22</v>
      </c>
      <c r="K1939" s="14" t="str">
        <f>HYPERLINK("http://twitter.com","Twitter Web Client")</f>
        <v>Twitter Web Client</v>
      </c>
      <c r="L1939" s="13">
        <v>1472</v>
      </c>
      <c r="M1939" s="13">
        <v>2059</v>
      </c>
      <c r="N1939" s="13">
        <v>4</v>
      </c>
      <c r="O1939" s="15"/>
      <c r="P1939" s="6">
        <v>42923.928784722222</v>
      </c>
      <c r="Q1939" s="18" t="s">
        <v>1973</v>
      </c>
      <c r="R1939" s="19" t="s">
        <v>1974</v>
      </c>
      <c r="S1939" s="11"/>
      <c r="T1939" s="11"/>
      <c r="U1939" s="10" t="str">
        <f>HYPERLINK("https://pbs.twimg.com/profile_images/1068670609935208450/c84QvuV4.jpg","View")</f>
        <v>View</v>
      </c>
    </row>
    <row r="1940" spans="1:21" ht="13.2">
      <c r="A1940" s="6">
        <v>43440.971354166672</v>
      </c>
      <c r="B1940" s="7" t="str">
        <f>HYPERLINK("https://twitter.com/CHAYEVA","@CHAYEVA")</f>
        <v>@CHAYEVA</v>
      </c>
      <c r="C1940" s="8" t="s">
        <v>6992</v>
      </c>
      <c r="D1940" s="9" t="s">
        <v>6993</v>
      </c>
      <c r="E1940" s="10" t="str">
        <f>HYPERLINK("https://twitter.com/CHAYEVA/status/1070804767415435265","1070804767415435265")</f>
        <v>1070804767415435265</v>
      </c>
      <c r="F1940" s="12" t="s">
        <v>6994</v>
      </c>
      <c r="G1940" s="11"/>
      <c r="H1940" s="11"/>
      <c r="I1940" s="13">
        <v>0</v>
      </c>
      <c r="J1940" s="13">
        <v>0</v>
      </c>
      <c r="K1940" s="14" t="str">
        <f>HYPERLINK("http://www.facebook.com/twitter","Facebook")</f>
        <v>Facebook</v>
      </c>
      <c r="L1940" s="13">
        <v>101</v>
      </c>
      <c r="M1940" s="13">
        <v>260</v>
      </c>
      <c r="N1940" s="13">
        <v>1</v>
      </c>
      <c r="O1940" s="15"/>
      <c r="P1940" s="6">
        <v>40356.480462962965</v>
      </c>
      <c r="Q1940" s="18" t="s">
        <v>1682</v>
      </c>
      <c r="R1940" s="17"/>
      <c r="S1940" s="12" t="s">
        <v>6995</v>
      </c>
      <c r="T1940" s="11"/>
      <c r="U1940" s="10" t="str">
        <f>HYPERLINK("https://pbs.twimg.com/profile_images/712983260243107840/OY-3b3ng.jpg","View")</f>
        <v>View</v>
      </c>
    </row>
    <row r="1941" spans="1:21" ht="20.399999999999999">
      <c r="A1941" s="6">
        <v>43440.971030092594</v>
      </c>
      <c r="B1941" s="7" t="str">
        <f>HYPERLINK("https://twitter.com/hector_pablo_","@hector_pablo_")</f>
        <v>@hector_pablo_</v>
      </c>
      <c r="C1941" s="8" t="s">
        <v>6996</v>
      </c>
      <c r="D1941" s="9" t="s">
        <v>6997</v>
      </c>
      <c r="E1941" s="10" t="str">
        <f>HYPERLINK("https://twitter.com/hector_pablo_/status/1070804646896263169","1070804646896263169")</f>
        <v>1070804646896263169</v>
      </c>
      <c r="F1941" s="11"/>
      <c r="G1941" s="11"/>
      <c r="H1941" s="11"/>
      <c r="I1941" s="13">
        <v>3</v>
      </c>
      <c r="J1941" s="13">
        <v>6</v>
      </c>
      <c r="K1941" s="14" t="str">
        <f>HYPERLINK("http://twitter.com/download/iphone","Twitter for iPhone")</f>
        <v>Twitter for iPhone</v>
      </c>
      <c r="L1941" s="13">
        <v>2614</v>
      </c>
      <c r="M1941" s="13">
        <v>1241</v>
      </c>
      <c r="N1941" s="13">
        <v>54</v>
      </c>
      <c r="O1941" s="15"/>
      <c r="P1941" s="6">
        <v>40681.549259259264</v>
      </c>
      <c r="Q1941" s="18" t="s">
        <v>6998</v>
      </c>
      <c r="R1941" s="19" t="s">
        <v>6999</v>
      </c>
      <c r="S1941" s="11"/>
      <c r="T1941" s="11"/>
      <c r="U1941" s="10" t="str">
        <f>HYPERLINK("https://pbs.twimg.com/profile_images/1057741497251102730/E83zKNbw.jpg","View")</f>
        <v>View</v>
      </c>
    </row>
    <row r="1942" spans="1:21" ht="30.6">
      <c r="A1942" s="6">
        <v>43440.970370370371</v>
      </c>
      <c r="B1942" s="7" t="str">
        <f>HYPERLINK("https://twitter.com/Catalinalina789","@Catalinalina789")</f>
        <v>@Catalinalina789</v>
      </c>
      <c r="C1942" s="8" t="s">
        <v>3834</v>
      </c>
      <c r="D1942" s="9" t="s">
        <v>3835</v>
      </c>
      <c r="E1942" s="10" t="str">
        <f>HYPERLINK("https://twitter.com/Catalinalina789/status/1070804409456738304","1070804409456738304")</f>
        <v>1070804409456738304</v>
      </c>
      <c r="F1942" s="11"/>
      <c r="G1942" s="12" t="s">
        <v>3838</v>
      </c>
      <c r="H1942" s="11"/>
      <c r="I1942" s="13">
        <v>0</v>
      </c>
      <c r="J1942" s="13">
        <v>0</v>
      </c>
      <c r="K1942" s="14" t="str">
        <f>HYPERLINK("http://twitter.com/#!/download/ipad","Twitter for iPad")</f>
        <v>Twitter for iPad</v>
      </c>
      <c r="L1942" s="13">
        <v>534</v>
      </c>
      <c r="M1942" s="13">
        <v>586</v>
      </c>
      <c r="N1942" s="13">
        <v>0</v>
      </c>
      <c r="O1942" s="15"/>
      <c r="P1942" s="6">
        <v>40325.843784722223</v>
      </c>
      <c r="Q1942" s="11"/>
      <c r="R1942" s="19" t="s">
        <v>3839</v>
      </c>
      <c r="S1942" s="11"/>
      <c r="T1942" s="11"/>
      <c r="U1942" s="10" t="str">
        <f>HYPERLINK("https://pbs.twimg.com/profile_images/976206282783936513/aPK-3I-i.jpg","View")</f>
        <v>View</v>
      </c>
    </row>
    <row r="1943" spans="1:21" ht="13.2">
      <c r="A1943" s="6">
        <v>43440.97010416667</v>
      </c>
      <c r="B1943" s="7" t="str">
        <f>HYPERLINK("https://twitter.com/anandocano","@anandocano")</f>
        <v>@anandocano</v>
      </c>
      <c r="C1943" s="8" t="s">
        <v>4012</v>
      </c>
      <c r="D1943" s="9" t="s">
        <v>7000</v>
      </c>
      <c r="E1943" s="10" t="str">
        <f>HYPERLINK("https://twitter.com/anandocano/status/1070804311607836672","1070804311607836672")</f>
        <v>1070804311607836672</v>
      </c>
      <c r="F1943" s="12" t="s">
        <v>1512</v>
      </c>
      <c r="G1943" s="11"/>
      <c r="H1943" s="11"/>
      <c r="I1943" s="13">
        <v>1</v>
      </c>
      <c r="J1943" s="13">
        <v>2</v>
      </c>
      <c r="K1943" s="14" t="str">
        <f>HYPERLINK("http://twitter.com/download/android","Twitter for Android")</f>
        <v>Twitter for Android</v>
      </c>
      <c r="L1943" s="13">
        <v>143</v>
      </c>
      <c r="M1943" s="13">
        <v>261</v>
      </c>
      <c r="N1943" s="13">
        <v>1</v>
      </c>
      <c r="O1943" s="15"/>
      <c r="P1943" s="6">
        <v>40770.922291666662</v>
      </c>
      <c r="Q1943" s="18" t="s">
        <v>307</v>
      </c>
      <c r="R1943" s="17"/>
      <c r="S1943" s="11"/>
      <c r="T1943" s="11"/>
      <c r="U1943" s="10" t="str">
        <f>HYPERLINK("https://pbs.twimg.com/profile_images/1070448298627121152/fJCMH0iE.jpg","View")</f>
        <v>View</v>
      </c>
    </row>
    <row r="1944" spans="1:21" ht="40.799999999999997">
      <c r="A1944" s="6">
        <v>43440.969652777778</v>
      </c>
      <c r="B1944" s="7" t="str">
        <f>HYPERLINK("https://twitter.com/indisioux","@indisioux")</f>
        <v>@indisioux</v>
      </c>
      <c r="C1944" s="8" t="s">
        <v>7001</v>
      </c>
      <c r="D1944" s="9" t="s">
        <v>7002</v>
      </c>
      <c r="E1944" s="10" t="str">
        <f>HYPERLINK("https://twitter.com/indisioux/status/1070804149732806657","1070804149732806657")</f>
        <v>1070804149732806657</v>
      </c>
      <c r="F1944" s="11"/>
      <c r="G1944" s="12" t="s">
        <v>1891</v>
      </c>
      <c r="H1944" s="11"/>
      <c r="I1944" s="13">
        <v>720</v>
      </c>
      <c r="J1944" s="13">
        <v>987</v>
      </c>
      <c r="K1944" s="14" t="str">
        <f>HYPERLINK("http://twitter.com","Twitter Web Client")</f>
        <v>Twitter Web Client</v>
      </c>
      <c r="L1944" s="13">
        <v>6752</v>
      </c>
      <c r="M1944" s="13">
        <v>623</v>
      </c>
      <c r="N1944" s="13">
        <v>39</v>
      </c>
      <c r="O1944" s="15"/>
      <c r="P1944" s="6">
        <v>42187.912361111114</v>
      </c>
      <c r="Q1944" s="11"/>
      <c r="R1944" s="19" t="s">
        <v>7003</v>
      </c>
      <c r="S1944" s="11"/>
      <c r="T1944" s="11"/>
      <c r="U1944" s="10" t="str">
        <f>HYPERLINK("https://pbs.twimg.com/profile_images/1069000934594891776/N-nxAzFC.jpg","View")</f>
        <v>View</v>
      </c>
    </row>
    <row r="1945" spans="1:21" ht="40.799999999999997">
      <c r="A1945" s="6">
        <v>43440.969594907408</v>
      </c>
      <c r="B1945" s="7" t="str">
        <f>HYPERLINK("https://twitter.com/espainiakobeldu","@espainiakobeldu")</f>
        <v>@espainiakobeldu</v>
      </c>
      <c r="C1945" s="8" t="s">
        <v>3242</v>
      </c>
      <c r="D1945" s="9" t="s">
        <v>3842</v>
      </c>
      <c r="E1945" s="10" t="str">
        <f>HYPERLINK("https://twitter.com/espainiakobeldu/status/1070804129059086337","1070804129059086337")</f>
        <v>1070804129059086337</v>
      </c>
      <c r="F1945" s="11"/>
      <c r="G1945" s="11"/>
      <c r="H1945" s="11"/>
      <c r="I1945" s="13">
        <v>0</v>
      </c>
      <c r="J1945" s="13">
        <v>1</v>
      </c>
      <c r="K1945" s="14" t="str">
        <f>HYPERLINK("http://twitter.com/download/iphone","Twitter for iPhone")</f>
        <v>Twitter for iPhone</v>
      </c>
      <c r="L1945" s="13">
        <v>478</v>
      </c>
      <c r="M1945" s="13">
        <v>876</v>
      </c>
      <c r="N1945" s="13">
        <v>0</v>
      </c>
      <c r="O1945" s="15"/>
      <c r="P1945" s="6">
        <v>43338.070520833338</v>
      </c>
      <c r="Q1945" s="18" t="s">
        <v>42</v>
      </c>
      <c r="R1945" s="19" t="s">
        <v>3247</v>
      </c>
      <c r="S1945" s="11"/>
      <c r="T1945" s="11"/>
      <c r="U1945" s="10" t="str">
        <f>HYPERLINK("https://pbs.twimg.com/profile_images/1034820060966281217/hzUW9nV0.jpg","View")</f>
        <v>View</v>
      </c>
    </row>
    <row r="1946" spans="1:21" ht="91.8">
      <c r="A1946" s="6">
        <v>43440.969270833331</v>
      </c>
      <c r="B1946" s="7" t="str">
        <f>HYPERLINK("https://twitter.com/ManuJBO","@ManuJBO")</f>
        <v>@ManuJBO</v>
      </c>
      <c r="C1946" s="8" t="s">
        <v>3843</v>
      </c>
      <c r="D1946" s="9" t="s">
        <v>3844</v>
      </c>
      <c r="E1946" s="10" t="str">
        <f>HYPERLINK("https://twitter.com/ManuJBO/status/1070804012742651906","1070804012742651906")</f>
        <v>1070804012742651906</v>
      </c>
      <c r="F1946" s="12" t="s">
        <v>3845</v>
      </c>
      <c r="G1946" s="12" t="s">
        <v>3846</v>
      </c>
      <c r="H1946" s="11"/>
      <c r="I1946" s="13">
        <v>0</v>
      </c>
      <c r="J1946" s="13">
        <v>0</v>
      </c>
      <c r="K1946" s="14" t="str">
        <f t="shared" ref="K1946:K1947" si="327">HYPERLINK("http://twitter.com/download/android","Twitter for Android")</f>
        <v>Twitter for Android</v>
      </c>
      <c r="L1946" s="13">
        <v>329</v>
      </c>
      <c r="M1946" s="13">
        <v>426</v>
      </c>
      <c r="N1946" s="13">
        <v>15</v>
      </c>
      <c r="O1946" s="15"/>
      <c r="P1946" s="6">
        <v>40595.848425925928</v>
      </c>
      <c r="Q1946" s="18" t="s">
        <v>42</v>
      </c>
      <c r="R1946" s="19" t="s">
        <v>3847</v>
      </c>
      <c r="S1946" s="11"/>
      <c r="T1946" s="11"/>
      <c r="U1946" s="10" t="str">
        <f>HYPERLINK("https://pbs.twimg.com/profile_images/962815865086447616/q4tkNJN3.jpg","View")</f>
        <v>View</v>
      </c>
    </row>
    <row r="1947" spans="1:21" ht="102">
      <c r="A1947" s="6">
        <v>43440.968182870369</v>
      </c>
      <c r="B1947" s="7" t="str">
        <f>HYPERLINK("https://twitter.com/GatoCurioso77","@GatoCurioso77")</f>
        <v>@GatoCurioso77</v>
      </c>
      <c r="C1947" s="8" t="s">
        <v>3848</v>
      </c>
      <c r="D1947" s="9" t="s">
        <v>3849</v>
      </c>
      <c r="E1947" s="10" t="str">
        <f>HYPERLINK("https://twitter.com/GatoCurioso77/status/1070803615604867072","1070803615604867072")</f>
        <v>1070803615604867072</v>
      </c>
      <c r="F1947" s="18" t="s">
        <v>460</v>
      </c>
      <c r="G1947" s="11"/>
      <c r="H1947" s="11"/>
      <c r="I1947" s="13">
        <v>0</v>
      </c>
      <c r="J1947" s="13">
        <v>0</v>
      </c>
      <c r="K1947" s="14" t="str">
        <f t="shared" si="327"/>
        <v>Twitter for Android</v>
      </c>
      <c r="L1947" s="13">
        <v>3742</v>
      </c>
      <c r="M1947" s="13">
        <v>1335</v>
      </c>
      <c r="N1947" s="13">
        <v>59</v>
      </c>
      <c r="O1947" s="15"/>
      <c r="P1947" s="6">
        <v>41315.072256944448</v>
      </c>
      <c r="Q1947" s="18" t="s">
        <v>42</v>
      </c>
      <c r="R1947" s="19" t="s">
        <v>3851</v>
      </c>
      <c r="S1947" s="12" t="s">
        <v>3852</v>
      </c>
      <c r="T1947" s="11"/>
      <c r="U1947" s="10" t="str">
        <f>HYPERLINK("https://pbs.twimg.com/profile_images/978956028439093248/c989bXbe.jpg","View")</f>
        <v>View</v>
      </c>
    </row>
    <row r="1948" spans="1:21" ht="40.799999999999997">
      <c r="A1948" s="6">
        <v>43440.967928240745</v>
      </c>
      <c r="B1948" s="7" t="str">
        <f>HYPERLINK("https://twitter.com/falcarazfer","@falcarazfer")</f>
        <v>@falcarazfer</v>
      </c>
      <c r="C1948" s="8" t="s">
        <v>4632</v>
      </c>
      <c r="D1948" s="9" t="s">
        <v>7004</v>
      </c>
      <c r="E1948" s="10" t="str">
        <f>HYPERLINK("https://twitter.com/falcarazfer/status/1070803525045796865","1070803525045796865")</f>
        <v>1070803525045796865</v>
      </c>
      <c r="F1948" s="12" t="s">
        <v>7005</v>
      </c>
      <c r="G1948" s="11"/>
      <c r="H1948" s="11"/>
      <c r="I1948" s="13">
        <v>0</v>
      </c>
      <c r="J1948" s="13">
        <v>0</v>
      </c>
      <c r="K1948" s="14" t="str">
        <f>HYPERLINK("http://twitter.com","Twitter Web Client")</f>
        <v>Twitter Web Client</v>
      </c>
      <c r="L1948" s="13">
        <v>3538</v>
      </c>
      <c r="M1948" s="13">
        <v>3498</v>
      </c>
      <c r="N1948" s="13">
        <v>52</v>
      </c>
      <c r="O1948" s="15"/>
      <c r="P1948" s="6">
        <v>41687.861030092594</v>
      </c>
      <c r="Q1948" s="11"/>
      <c r="R1948" s="19" t="s">
        <v>4635</v>
      </c>
      <c r="S1948" s="11"/>
      <c r="T1948" s="11"/>
      <c r="U1948" s="10" t="str">
        <f>HYPERLINK("https://pbs.twimg.com/profile_images/459014754648879105/Dt4Ki-pT.png","View")</f>
        <v>View</v>
      </c>
    </row>
    <row r="1949" spans="1:21" ht="40.799999999999997">
      <c r="A1949" s="6">
        <v>43440.96774305556</v>
      </c>
      <c r="B1949" s="7" t="str">
        <f>HYPERLINK("https://twitter.com/betico0307","@betico0307")</f>
        <v>@betico0307</v>
      </c>
      <c r="C1949" s="8" t="s">
        <v>3853</v>
      </c>
      <c r="D1949" s="9" t="s">
        <v>3854</v>
      </c>
      <c r="E1949" s="10" t="str">
        <f>HYPERLINK("https://twitter.com/betico0307/status/1070803456716357634","1070803456716357634")</f>
        <v>1070803456716357634</v>
      </c>
      <c r="F1949" s="11"/>
      <c r="G1949" s="11"/>
      <c r="H1949" s="11"/>
      <c r="I1949" s="13">
        <v>0</v>
      </c>
      <c r="J1949" s="13">
        <v>0</v>
      </c>
      <c r="K1949" s="14" t="str">
        <f>HYPERLINK("http://twitter.com/download/android","Twitter for Android")</f>
        <v>Twitter for Android</v>
      </c>
      <c r="L1949" s="13">
        <v>4</v>
      </c>
      <c r="M1949" s="13">
        <v>134</v>
      </c>
      <c r="N1949" s="13">
        <v>0</v>
      </c>
      <c r="O1949" s="15"/>
      <c r="P1949" s="6">
        <v>43304.376736111109</v>
      </c>
      <c r="Q1949" s="11"/>
      <c r="R1949" s="17"/>
      <c r="S1949" s="11"/>
      <c r="T1949" s="11"/>
      <c r="U1949" s="10" t="str">
        <f>HYPERLINK("https://pbs.twimg.com/profile_images/1021290921554571264/iClLF8MG.jpg","View")</f>
        <v>View</v>
      </c>
    </row>
    <row r="1950" spans="1:21" ht="30.6">
      <c r="A1950" s="6">
        <v>43440.967129629629</v>
      </c>
      <c r="B1950" s="7" t="str">
        <f>HYPERLINK("https://twitter.com/StarBut63455464","@StarBut63455464")</f>
        <v>@StarBut63455464</v>
      </c>
      <c r="C1950" s="8" t="s">
        <v>1213</v>
      </c>
      <c r="D1950" s="9" t="s">
        <v>3857</v>
      </c>
      <c r="E1950" s="10" t="str">
        <f>HYPERLINK("https://twitter.com/StarBut63455464/status/1070803236062457857","1070803236062457857")</f>
        <v>1070803236062457857</v>
      </c>
      <c r="F1950" s="18" t="s">
        <v>3079</v>
      </c>
      <c r="G1950" s="11"/>
      <c r="H1950" s="11"/>
      <c r="I1950" s="13">
        <v>1</v>
      </c>
      <c r="J1950" s="13">
        <v>5</v>
      </c>
      <c r="K1950" s="14" t="str">
        <f>HYPERLINK("http://twitter.com/download/iphone","Twitter for iPhone")</f>
        <v>Twitter for iPhone</v>
      </c>
      <c r="L1950" s="13">
        <v>63</v>
      </c>
      <c r="M1950" s="13">
        <v>109</v>
      </c>
      <c r="N1950" s="13">
        <v>0</v>
      </c>
      <c r="O1950" s="15"/>
      <c r="P1950" s="6">
        <v>43322.544629629629</v>
      </c>
      <c r="Q1950" s="11"/>
      <c r="R1950" s="17"/>
      <c r="S1950" s="11"/>
      <c r="T1950" s="11"/>
      <c r="U1950" s="10" t="str">
        <f>HYPERLINK("https://pbs.twimg.com/profile_images/1027874980502151169/UDAvrnaF.jpg","View")</f>
        <v>View</v>
      </c>
    </row>
    <row r="1951" spans="1:21" ht="40.799999999999997">
      <c r="A1951" s="6">
        <v>43440.966527777782</v>
      </c>
      <c r="B1951" s="7" t="str">
        <f>HYPERLINK("https://twitter.com/HOPE443135511","@HOPE443135511")</f>
        <v>@HOPE443135511</v>
      </c>
      <c r="C1951" s="8" t="s">
        <v>2410</v>
      </c>
      <c r="D1951" s="9" t="s">
        <v>3859</v>
      </c>
      <c r="E1951" s="10" t="str">
        <f>HYPERLINK("https://twitter.com/HOPE443135511/status/1070803016931000320","1070803016931000320")</f>
        <v>1070803016931000320</v>
      </c>
      <c r="F1951" s="11"/>
      <c r="G1951" s="12" t="s">
        <v>3860</v>
      </c>
      <c r="H1951" s="11"/>
      <c r="I1951" s="13">
        <v>1</v>
      </c>
      <c r="J1951" s="13">
        <v>0</v>
      </c>
      <c r="K1951" s="14" t="str">
        <f t="shared" ref="K1951:K1953" si="328">HYPERLINK("http://twitter.com/download/android","Twitter for Android")</f>
        <v>Twitter for Android</v>
      </c>
      <c r="L1951" s="13">
        <v>121</v>
      </c>
      <c r="M1951" s="13">
        <v>109</v>
      </c>
      <c r="N1951" s="13">
        <v>3</v>
      </c>
      <c r="O1951" s="15"/>
      <c r="P1951" s="6">
        <v>43153.742974537032</v>
      </c>
      <c r="Q1951" s="11"/>
      <c r="R1951" s="19" t="s">
        <v>2414</v>
      </c>
      <c r="S1951" s="11"/>
      <c r="T1951" s="11"/>
      <c r="U1951" s="10" t="str">
        <f>HYPERLINK("https://pbs.twimg.com/profile_images/1070311184618938370/k-6b5nJv.jpg","View")</f>
        <v>View</v>
      </c>
    </row>
    <row r="1952" spans="1:21" ht="40.799999999999997">
      <c r="A1952" s="6">
        <v>43440.966423611113</v>
      </c>
      <c r="B1952" s="7" t="str">
        <f>HYPERLINK("https://twitter.com/Ke_Les_Den","@Ke_Les_Den")</f>
        <v>@Ke_Les_Den</v>
      </c>
      <c r="C1952" s="8" t="s">
        <v>925</v>
      </c>
      <c r="D1952" s="9" t="s">
        <v>3861</v>
      </c>
      <c r="E1952" s="10" t="str">
        <f>HYPERLINK("https://twitter.com/Ke_Les_Den/status/1070802979886952448","1070802979886952448")</f>
        <v>1070802979886952448</v>
      </c>
      <c r="F1952" s="11"/>
      <c r="G1952" s="12" t="s">
        <v>3862</v>
      </c>
      <c r="H1952" s="11"/>
      <c r="I1952" s="13">
        <v>2</v>
      </c>
      <c r="J1952" s="13">
        <v>13</v>
      </c>
      <c r="K1952" s="14" t="str">
        <f t="shared" si="328"/>
        <v>Twitter for Android</v>
      </c>
      <c r="L1952" s="13">
        <v>861</v>
      </c>
      <c r="M1952" s="13">
        <v>1970</v>
      </c>
      <c r="N1952" s="13">
        <v>1</v>
      </c>
      <c r="O1952" s="15"/>
      <c r="P1952" s="6">
        <v>42849.633483796293</v>
      </c>
      <c r="Q1952" s="11"/>
      <c r="R1952" s="19" t="s">
        <v>932</v>
      </c>
      <c r="S1952" s="11"/>
      <c r="T1952" s="11"/>
      <c r="U1952" s="10" t="str">
        <f>HYPERLINK("https://pbs.twimg.com/profile_images/856777751755358208/AquT2MXe.jpg","View")</f>
        <v>View</v>
      </c>
    </row>
    <row r="1953" spans="1:21" ht="40.799999999999997">
      <c r="A1953" s="6">
        <v>43440.966064814813</v>
      </c>
      <c r="B1953" s="7" t="str">
        <f>HYPERLINK("https://twitter.com/Botifler4ever","@Botifler4ever")</f>
        <v>@Botifler4ever</v>
      </c>
      <c r="C1953" s="8" t="s">
        <v>7006</v>
      </c>
      <c r="D1953" s="9" t="s">
        <v>7007</v>
      </c>
      <c r="E1953" s="10" t="str">
        <f>HYPERLINK("https://twitter.com/Botifler4ever/status/1070802850081595397","1070802850081595397")</f>
        <v>1070802850081595397</v>
      </c>
      <c r="F1953" s="11"/>
      <c r="G1953" s="12" t="s">
        <v>7008</v>
      </c>
      <c r="H1953" s="11"/>
      <c r="I1953" s="13">
        <v>22</v>
      </c>
      <c r="J1953" s="13">
        <v>57</v>
      </c>
      <c r="K1953" s="14" t="str">
        <f t="shared" si="328"/>
        <v>Twitter for Android</v>
      </c>
      <c r="L1953" s="13">
        <v>3777</v>
      </c>
      <c r="M1953" s="13">
        <v>2818</v>
      </c>
      <c r="N1953" s="13">
        <v>32</v>
      </c>
      <c r="O1953" s="15"/>
      <c r="P1953" s="6">
        <v>42186.723217592589</v>
      </c>
      <c r="Q1953" s="18" t="s">
        <v>7009</v>
      </c>
      <c r="R1953" s="19" t="s">
        <v>7010</v>
      </c>
      <c r="S1953" s="11"/>
      <c r="T1953" s="11"/>
      <c r="U1953" s="10" t="str">
        <f>HYPERLINK("https://pbs.twimg.com/profile_images/1046670678559248385/vZN07pGn.jpg","View")</f>
        <v>View</v>
      </c>
    </row>
    <row r="1954" spans="1:21" ht="91.8">
      <c r="A1954" s="6">
        <v>43440.96565972222</v>
      </c>
      <c r="B1954" s="7" t="str">
        <f>HYPERLINK("https://twitter.com/Crintar75","@Crintar75")</f>
        <v>@Crintar75</v>
      </c>
      <c r="C1954" s="8" t="s">
        <v>3864</v>
      </c>
      <c r="D1954" s="9" t="s">
        <v>3865</v>
      </c>
      <c r="E1954" s="10" t="str">
        <f>HYPERLINK("https://twitter.com/Crintar75/status/1070802704010764289","1070802704010764289")</f>
        <v>1070802704010764289</v>
      </c>
      <c r="F1954" s="12" t="s">
        <v>3866</v>
      </c>
      <c r="G1954" s="11"/>
      <c r="H1954" s="11"/>
      <c r="I1954" s="13">
        <v>0</v>
      </c>
      <c r="J1954" s="13">
        <v>0</v>
      </c>
      <c r="K1954" s="14" t="str">
        <f>HYPERLINK("http://twitter.com/download/iphone","Twitter for iPhone")</f>
        <v>Twitter for iPhone</v>
      </c>
      <c r="L1954" s="13">
        <v>153</v>
      </c>
      <c r="M1954" s="13">
        <v>667</v>
      </c>
      <c r="N1954" s="13">
        <v>5</v>
      </c>
      <c r="O1954" s="15"/>
      <c r="P1954" s="6">
        <v>40490.810370370367</v>
      </c>
      <c r="Q1954" s="11"/>
      <c r="R1954" s="19" t="s">
        <v>3867</v>
      </c>
      <c r="S1954" s="11"/>
      <c r="T1954" s="11"/>
      <c r="U1954" s="10" t="str">
        <f>HYPERLINK("https://pbs.twimg.com/profile_images/495979438568660993/uJyZ1Z5j.jpeg","View")</f>
        <v>View</v>
      </c>
    </row>
    <row r="1955" spans="1:21" ht="71.400000000000006">
      <c r="A1955" s="6">
        <v>43440.965300925927</v>
      </c>
      <c r="B1955" s="7" t="str">
        <f>HYPERLINK("https://twitter.com/tsquique","@tsquique")</f>
        <v>@tsquique</v>
      </c>
      <c r="C1955" s="8" t="s">
        <v>3869</v>
      </c>
      <c r="D1955" s="9" t="s">
        <v>3870</v>
      </c>
      <c r="E1955" s="10" t="str">
        <f>HYPERLINK("https://twitter.com/tsquique/status/1070802572695519237","1070802572695519237")</f>
        <v>1070802572695519237</v>
      </c>
      <c r="F1955" s="18" t="s">
        <v>3871</v>
      </c>
      <c r="G1955" s="11"/>
      <c r="H1955" s="11"/>
      <c r="I1955" s="13">
        <v>0</v>
      </c>
      <c r="J1955" s="13">
        <v>0</v>
      </c>
      <c r="K1955" s="14" t="str">
        <f>HYPERLINK("http://twitter.com/download/android","Twitter for Android")</f>
        <v>Twitter for Android</v>
      </c>
      <c r="L1955" s="13">
        <v>346</v>
      </c>
      <c r="M1955" s="13">
        <v>353</v>
      </c>
      <c r="N1955" s="13">
        <v>19</v>
      </c>
      <c r="O1955" s="15"/>
      <c r="P1955" s="6">
        <v>41242.204398148147</v>
      </c>
      <c r="Q1955" s="11"/>
      <c r="R1955" s="19" t="s">
        <v>3874</v>
      </c>
      <c r="S1955" s="11"/>
      <c r="T1955" s="11"/>
      <c r="U1955" s="10" t="str">
        <f>HYPERLINK("https://pbs.twimg.com/profile_images/857802488396861440/eIgSb1Ho.jpg","View")</f>
        <v>View</v>
      </c>
    </row>
    <row r="1956" spans="1:21" ht="30.6">
      <c r="A1956" s="6">
        <v>43440.965138888889</v>
      </c>
      <c r="B1956" s="7" t="str">
        <f>HYPERLINK("https://twitter.com/Supportapple3","@Supportapple3")</f>
        <v>@Supportapple3</v>
      </c>
      <c r="C1956" s="8" t="s">
        <v>6282</v>
      </c>
      <c r="D1956" s="9" t="s">
        <v>7011</v>
      </c>
      <c r="E1956" s="10" t="str">
        <f>HYPERLINK("https://twitter.com/Supportapple3/status/1070802513971027969","1070802513971027969")</f>
        <v>1070802513971027969</v>
      </c>
      <c r="F1956" s="11"/>
      <c r="G1956" s="11"/>
      <c r="H1956" s="11"/>
      <c r="I1956" s="13">
        <v>20</v>
      </c>
      <c r="J1956" s="13">
        <v>26</v>
      </c>
      <c r="K1956" s="14" t="str">
        <f>HYPERLINK("http://twitter.com/download/iphone","Twitter for iPhone")</f>
        <v>Twitter for iPhone</v>
      </c>
      <c r="L1956" s="13">
        <v>1372</v>
      </c>
      <c r="M1956" s="13">
        <v>1756</v>
      </c>
      <c r="N1956" s="13">
        <v>1</v>
      </c>
      <c r="O1956" s="15"/>
      <c r="P1956" s="6">
        <v>43378.497986111106</v>
      </c>
      <c r="Q1956" s="18" t="s">
        <v>6283</v>
      </c>
      <c r="R1956" s="19" t="s">
        <v>6284</v>
      </c>
      <c r="S1956" s="12" t="s">
        <v>6285</v>
      </c>
      <c r="T1956" s="11"/>
      <c r="U1956" s="10" t="str">
        <f>HYPERLINK("https://pbs.twimg.com/profile_images/1053036687641722882/aoOqp9sw.jpg","View")</f>
        <v>View</v>
      </c>
    </row>
    <row r="1957" spans="1:21" ht="51">
      <c r="A1957" s="6">
        <v>43440.965057870373</v>
      </c>
      <c r="B1957" s="7" t="str">
        <f>HYPERLINK("https://twitter.com/gabylopez83","@gabylopez83")</f>
        <v>@gabylopez83</v>
      </c>
      <c r="C1957" s="8" t="s">
        <v>5602</v>
      </c>
      <c r="D1957" s="9" t="s">
        <v>7012</v>
      </c>
      <c r="E1957" s="10" t="str">
        <f>HYPERLINK("https://twitter.com/gabylopez83/status/1070802485986684929","1070802485986684929")</f>
        <v>1070802485986684929</v>
      </c>
      <c r="F1957" s="11"/>
      <c r="G1957" s="12" t="s">
        <v>3779</v>
      </c>
      <c r="H1957" s="11"/>
      <c r="I1957" s="13">
        <v>40</v>
      </c>
      <c r="J1957" s="13">
        <v>142</v>
      </c>
      <c r="K1957" s="14" t="str">
        <f t="shared" ref="K1957:K1960" si="329">HYPERLINK("http://twitter.com/download/android","Twitter for Android")</f>
        <v>Twitter for Android</v>
      </c>
      <c r="L1957" s="13">
        <v>9622</v>
      </c>
      <c r="M1957" s="13">
        <v>10033</v>
      </c>
      <c r="N1957" s="13">
        <v>14</v>
      </c>
      <c r="O1957" s="15"/>
      <c r="P1957" s="6">
        <v>40862.824189814812</v>
      </c>
      <c r="Q1957" s="11"/>
      <c r="R1957" s="19" t="s">
        <v>5605</v>
      </c>
      <c r="S1957" s="12" t="s">
        <v>5606</v>
      </c>
      <c r="T1957" s="11"/>
      <c r="U1957" s="10" t="str">
        <f>HYPERLINK("https://pbs.twimg.com/profile_images/1008854272363192320/to6ROs3Z.jpg","View")</f>
        <v>View</v>
      </c>
    </row>
    <row r="1958" spans="1:21" ht="61.2">
      <c r="A1958" s="6">
        <v>43440.962349537032</v>
      </c>
      <c r="B1958" s="7" t="str">
        <f>HYPERLINK("https://twitter.com/universalsevil1","@universalsevil1")</f>
        <v>@universalsevil1</v>
      </c>
      <c r="C1958" s="8" t="s">
        <v>1961</v>
      </c>
      <c r="D1958" s="9" t="s">
        <v>7013</v>
      </c>
      <c r="E1958" s="10" t="str">
        <f>HYPERLINK("https://twitter.com/universalsevil1/status/1070801504431423489","1070801504431423489")</f>
        <v>1070801504431423489</v>
      </c>
      <c r="F1958" s="11"/>
      <c r="G1958" s="12" t="s">
        <v>7014</v>
      </c>
      <c r="H1958" s="11"/>
      <c r="I1958" s="13">
        <v>0</v>
      </c>
      <c r="J1958" s="13">
        <v>0</v>
      </c>
      <c r="K1958" s="14" t="str">
        <f t="shared" si="329"/>
        <v>Twitter for Android</v>
      </c>
      <c r="L1958" s="13">
        <v>412</v>
      </c>
      <c r="M1958" s="13">
        <v>694</v>
      </c>
      <c r="N1958" s="13">
        <v>7</v>
      </c>
      <c r="O1958" s="15"/>
      <c r="P1958" s="6">
        <v>42373.857349537036</v>
      </c>
      <c r="Q1958" s="11"/>
      <c r="R1958" s="17"/>
      <c r="S1958" s="11"/>
      <c r="T1958" s="11"/>
      <c r="U1958" s="10" t="str">
        <f>HYPERLINK("https://pbs.twimg.com/profile_images/990336265085177857/jUe7wYwz.jpg","View")</f>
        <v>View</v>
      </c>
    </row>
    <row r="1959" spans="1:21" ht="40.799999999999997">
      <c r="A1959" s="6">
        <v>43440.962025462963</v>
      </c>
      <c r="B1959" s="7" t="str">
        <f>HYPERLINK("https://twitter.com/ElRafaYOle","@ElRafaYOle")</f>
        <v>@ElRafaYOle</v>
      </c>
      <c r="C1959" s="8" t="s">
        <v>7015</v>
      </c>
      <c r="D1959" s="9" t="s">
        <v>7016</v>
      </c>
      <c r="E1959" s="10" t="str">
        <f>HYPERLINK("https://twitter.com/ElRafaYOle/status/1070801383555764226","1070801383555764226")</f>
        <v>1070801383555764226</v>
      </c>
      <c r="F1959" s="12" t="s">
        <v>7017</v>
      </c>
      <c r="G1959" s="12" t="s">
        <v>7018</v>
      </c>
      <c r="H1959" s="11"/>
      <c r="I1959" s="13">
        <v>0</v>
      </c>
      <c r="J1959" s="13">
        <v>0</v>
      </c>
      <c r="K1959" s="14" t="str">
        <f t="shared" si="329"/>
        <v>Twitter for Android</v>
      </c>
      <c r="L1959" s="13">
        <v>563</v>
      </c>
      <c r="M1959" s="13">
        <v>734</v>
      </c>
      <c r="N1959" s="13">
        <v>11</v>
      </c>
      <c r="O1959" s="15"/>
      <c r="P1959" s="6">
        <v>41953.628807870366</v>
      </c>
      <c r="Q1959" s="18" t="s">
        <v>42</v>
      </c>
      <c r="R1959" s="19" t="s">
        <v>7019</v>
      </c>
      <c r="S1959" s="11"/>
      <c r="T1959" s="11"/>
      <c r="U1959" s="10" t="str">
        <f>HYPERLINK("https://pbs.twimg.com/profile_images/1026468129675915264/Z2u2FYaQ.jpg","View")</f>
        <v>View</v>
      </c>
    </row>
    <row r="1960" spans="1:21" ht="30.6">
      <c r="A1960" s="6">
        <v>43440.960729166662</v>
      </c>
      <c r="B1960" s="7" t="str">
        <f>HYPERLINK("https://twitter.com/Padre24_365","@Padre24_365")</f>
        <v>@Padre24_365</v>
      </c>
      <c r="C1960" s="8" t="s">
        <v>1144</v>
      </c>
      <c r="D1960" s="9" t="s">
        <v>3876</v>
      </c>
      <c r="E1960" s="10" t="str">
        <f>HYPERLINK("https://twitter.com/Padre24_365/status/1070800914137661440","1070800914137661440")</f>
        <v>1070800914137661440</v>
      </c>
      <c r="F1960" s="12" t="s">
        <v>3877</v>
      </c>
      <c r="G1960" s="11"/>
      <c r="H1960" s="11"/>
      <c r="I1960" s="13">
        <v>0</v>
      </c>
      <c r="J1960" s="13">
        <v>0</v>
      </c>
      <c r="K1960" s="14" t="str">
        <f t="shared" si="329"/>
        <v>Twitter for Android</v>
      </c>
      <c r="L1960" s="13">
        <v>25</v>
      </c>
      <c r="M1960" s="13">
        <v>136</v>
      </c>
      <c r="N1960" s="13">
        <v>0</v>
      </c>
      <c r="O1960" s="15"/>
      <c r="P1960" s="6">
        <v>43321.006122685183</v>
      </c>
      <c r="Q1960" s="18" t="s">
        <v>454</v>
      </c>
      <c r="R1960" s="19" t="s">
        <v>1149</v>
      </c>
      <c r="S1960" s="11"/>
      <c r="T1960" s="11"/>
      <c r="U1960" s="10" t="str">
        <f>HYPERLINK("https://pbs.twimg.com/profile_images/1030790749720399872/GhiyVJu1.jpg","View")</f>
        <v>View</v>
      </c>
    </row>
    <row r="1961" spans="1:21" ht="20.399999999999999">
      <c r="A1961" s="6">
        <v>43440.960439814815</v>
      </c>
      <c r="B1961" s="7" t="str">
        <f>HYPERLINK("https://twitter.com/popiosuna","@popiosuna")</f>
        <v>@popiosuna</v>
      </c>
      <c r="C1961" s="8" t="s">
        <v>7020</v>
      </c>
      <c r="D1961" s="9" t="s">
        <v>1833</v>
      </c>
      <c r="E1961" s="10" t="str">
        <f>HYPERLINK("https://twitter.com/popiosuna/status/1070800811482066945","1070800811482066945")</f>
        <v>1070800811482066945</v>
      </c>
      <c r="F1961" s="12" t="s">
        <v>7021</v>
      </c>
      <c r="G1961" s="11"/>
      <c r="H1961" s="11"/>
      <c r="I1961" s="13">
        <v>0</v>
      </c>
      <c r="J1961" s="13">
        <v>0</v>
      </c>
      <c r="K1961" s="14" t="str">
        <f>HYPERLINK("http://www.facebook.com/twitter","Facebook")</f>
        <v>Facebook</v>
      </c>
      <c r="L1961" s="13">
        <v>210</v>
      </c>
      <c r="M1961" s="13">
        <v>1203</v>
      </c>
      <c r="N1961" s="13">
        <v>8</v>
      </c>
      <c r="O1961" s="15"/>
      <c r="P1961" s="6">
        <v>40610.282326388886</v>
      </c>
      <c r="Q1961" s="18" t="s">
        <v>1430</v>
      </c>
      <c r="R1961" s="19" t="s">
        <v>7022</v>
      </c>
      <c r="S1961" s="11"/>
      <c r="T1961" s="11"/>
      <c r="U1961" s="10" t="str">
        <f>HYPERLINK("https://pbs.twimg.com/profile_images/636370289312595968/zCZhDUPK.jpg","View")</f>
        <v>View</v>
      </c>
    </row>
    <row r="1962" spans="1:21" ht="51">
      <c r="A1962" s="6">
        <v>43440.959456018521</v>
      </c>
      <c r="B1962" s="7" t="str">
        <f>HYPERLINK("https://twitter.com/joseluisportela","@joseluisportela")</f>
        <v>@joseluisportela</v>
      </c>
      <c r="C1962" s="8" t="s">
        <v>7023</v>
      </c>
      <c r="D1962" s="9" t="s">
        <v>7024</v>
      </c>
      <c r="E1962" s="10" t="str">
        <f>HYPERLINK("https://twitter.com/joseluisportela/status/1070800455385653249","1070800455385653249")</f>
        <v>1070800455385653249</v>
      </c>
      <c r="F1962" s="11"/>
      <c r="G1962" s="11"/>
      <c r="H1962" s="11"/>
      <c r="I1962" s="13">
        <v>1</v>
      </c>
      <c r="J1962" s="13">
        <v>6</v>
      </c>
      <c r="K1962" s="14" t="str">
        <f>HYPERLINK("http://twitter.com","Twitter Web Client")</f>
        <v>Twitter Web Client</v>
      </c>
      <c r="L1962" s="13">
        <v>8490</v>
      </c>
      <c r="M1962" s="13">
        <v>7893</v>
      </c>
      <c r="N1962" s="13">
        <v>182</v>
      </c>
      <c r="O1962" s="15"/>
      <c r="P1962" s="6">
        <v>39832.000868055555</v>
      </c>
      <c r="Q1962" s="18" t="s">
        <v>100</v>
      </c>
      <c r="R1962" s="19" t="s">
        <v>7025</v>
      </c>
      <c r="S1962" s="12" t="s">
        <v>7026</v>
      </c>
      <c r="T1962" s="11"/>
      <c r="U1962" s="10" t="str">
        <f>HYPERLINK("https://pbs.twimg.com/profile_images/1047032897515991043/zzGkNeyX.jpg","View")</f>
        <v>View</v>
      </c>
    </row>
    <row r="1963" spans="1:21" ht="30.6">
      <c r="A1963" s="6">
        <v>43440.95921296296</v>
      </c>
      <c r="B1963" s="7" t="str">
        <f>HYPERLINK("https://twitter.com/liche2085","@liche2085")</f>
        <v>@liche2085</v>
      </c>
      <c r="C1963" s="8" t="s">
        <v>7027</v>
      </c>
      <c r="D1963" s="9" t="s">
        <v>2453</v>
      </c>
      <c r="E1963" s="10" t="str">
        <f>HYPERLINK("https://twitter.com/liche2085/status/1070800365967282181","1070800365967282181")</f>
        <v>1070800365967282181</v>
      </c>
      <c r="F1963" s="12" t="s">
        <v>2454</v>
      </c>
      <c r="G1963" s="11"/>
      <c r="H1963" s="11"/>
      <c r="I1963" s="13">
        <v>0</v>
      </c>
      <c r="J1963" s="13">
        <v>0</v>
      </c>
      <c r="K1963" s="14" t="str">
        <f>HYPERLINK("https://www.google.com/","Google")</f>
        <v>Google</v>
      </c>
      <c r="L1963" s="13">
        <v>21</v>
      </c>
      <c r="M1963" s="13">
        <v>63</v>
      </c>
      <c r="N1963" s="13">
        <v>0</v>
      </c>
      <c r="O1963" s="15"/>
      <c r="P1963" s="6">
        <v>43085.705474537041</v>
      </c>
      <c r="Q1963" s="11"/>
      <c r="R1963" s="19" t="s">
        <v>7028</v>
      </c>
      <c r="S1963" s="11"/>
      <c r="T1963" s="11"/>
      <c r="U1963" s="10" t="str">
        <f>HYPERLINK("https://pbs.twimg.com/profile_images/942080845787131905/LR98QgT0.jpg","View")</f>
        <v>View</v>
      </c>
    </row>
    <row r="1964" spans="1:21" ht="51">
      <c r="A1964" s="6">
        <v>43440.959120370375</v>
      </c>
      <c r="B1964" s="7" t="str">
        <f>HYPERLINK("https://twitter.com/LeningradKaiboy","@LeningradKaiboy")</f>
        <v>@LeningradKaiboy</v>
      </c>
      <c r="C1964" s="8" t="s">
        <v>7029</v>
      </c>
      <c r="D1964" s="9" t="s">
        <v>7030</v>
      </c>
      <c r="E1964" s="10" t="str">
        <f>HYPERLINK("https://twitter.com/LeningradKaiboy/status/1070800334077992960","1070800334077992960")</f>
        <v>1070800334077992960</v>
      </c>
      <c r="F1964" s="18" t="s">
        <v>7031</v>
      </c>
      <c r="G1964" s="12" t="s">
        <v>3880</v>
      </c>
      <c r="H1964" s="11"/>
      <c r="I1964" s="13">
        <v>0</v>
      </c>
      <c r="J1964" s="13">
        <v>1</v>
      </c>
      <c r="K1964" s="14" t="str">
        <f>HYPERLINK("http://twitter.com","Twitter Web Client")</f>
        <v>Twitter Web Client</v>
      </c>
      <c r="L1964" s="13">
        <v>254</v>
      </c>
      <c r="M1964" s="13">
        <v>281</v>
      </c>
      <c r="N1964" s="13">
        <v>8</v>
      </c>
      <c r="O1964" s="15"/>
      <c r="P1964" s="6">
        <v>41173.709594907406</v>
      </c>
      <c r="Q1964" s="11"/>
      <c r="R1964" s="19" t="s">
        <v>7032</v>
      </c>
      <c r="S1964" s="12" t="s">
        <v>7033</v>
      </c>
      <c r="T1964" s="11"/>
      <c r="U1964" s="10" t="str">
        <f>HYPERLINK("https://pbs.twimg.com/profile_images/1038928439028449280/b7ZAZH7C.jpg","View")</f>
        <v>View</v>
      </c>
    </row>
    <row r="1965" spans="1:21" ht="40.799999999999997">
      <c r="A1965" s="6">
        <v>43440.958530092597</v>
      </c>
      <c r="B1965" s="7" t="str">
        <f>HYPERLINK("https://twitter.com/lextresabogados","@lextresabogados")</f>
        <v>@lextresabogados</v>
      </c>
      <c r="C1965" s="8" t="s">
        <v>457</v>
      </c>
      <c r="D1965" s="9" t="s">
        <v>7034</v>
      </c>
      <c r="E1965" s="10" t="str">
        <f>HYPERLINK("https://twitter.com/lextresabogados/status/1070800117542912001","1070800117542912001")</f>
        <v>1070800117542912001</v>
      </c>
      <c r="F1965" s="12" t="s">
        <v>3879</v>
      </c>
      <c r="G1965" s="12" t="s">
        <v>7035</v>
      </c>
      <c r="H1965" s="11"/>
      <c r="I1965" s="13">
        <v>0</v>
      </c>
      <c r="J1965" s="13">
        <v>1</v>
      </c>
      <c r="K1965" s="14" t="str">
        <f>HYPERLINK("http://35.180.36.179","botize nueva")</f>
        <v>botize nueva</v>
      </c>
      <c r="L1965" s="13">
        <v>2912</v>
      </c>
      <c r="M1965" s="13">
        <v>3525</v>
      </c>
      <c r="N1965" s="13">
        <v>26</v>
      </c>
      <c r="O1965" s="15"/>
      <c r="P1965" s="6">
        <v>42880.770949074074</v>
      </c>
      <c r="Q1965" s="18" t="s">
        <v>467</v>
      </c>
      <c r="R1965" s="19" t="s">
        <v>468</v>
      </c>
      <c r="S1965" s="12" t="s">
        <v>469</v>
      </c>
      <c r="T1965" s="11"/>
      <c r="U1965" s="10" t="str">
        <f>HYPERLINK("https://pbs.twimg.com/profile_images/1068056978679898113/YnjKwiVy.jpg","View")</f>
        <v>View</v>
      </c>
    </row>
    <row r="1966" spans="1:21" ht="40.799999999999997">
      <c r="A1966" s="6">
        <v>43440.958333333328</v>
      </c>
      <c r="B1966" s="7" t="str">
        <f>HYPERLINK("https://twitter.com/larazon_es","@larazon_es")</f>
        <v>@larazon_es</v>
      </c>
      <c r="C1966" s="8" t="s">
        <v>87</v>
      </c>
      <c r="D1966" s="9" t="s">
        <v>3878</v>
      </c>
      <c r="E1966" s="10" t="str">
        <f>HYPERLINK("https://twitter.com/larazon_es/status/1070800049448345600","1070800049448345600")</f>
        <v>1070800049448345600</v>
      </c>
      <c r="F1966" s="12" t="s">
        <v>3879</v>
      </c>
      <c r="G1966" s="12" t="s">
        <v>3880</v>
      </c>
      <c r="H1966" s="11"/>
      <c r="I1966" s="13">
        <v>1</v>
      </c>
      <c r="J1966" s="13">
        <v>2</v>
      </c>
      <c r="K1966" s="14" t="str">
        <f>HYPERLINK("http://dogtrack.es","DogTrack_Oficial")</f>
        <v>DogTrack_Oficial</v>
      </c>
      <c r="L1966" s="13">
        <v>442246</v>
      </c>
      <c r="M1966" s="13">
        <v>2961</v>
      </c>
      <c r="N1966" s="13">
        <v>6161</v>
      </c>
      <c r="O1966" s="16" t="s">
        <v>25</v>
      </c>
      <c r="P1966" s="6">
        <v>40218.530092592591</v>
      </c>
      <c r="Q1966" s="18" t="s">
        <v>42</v>
      </c>
      <c r="R1966" s="19" t="s">
        <v>93</v>
      </c>
      <c r="S1966" s="12" t="s">
        <v>94</v>
      </c>
      <c r="T1966" s="11"/>
      <c r="U1966" s="10" t="str">
        <f>HYPERLINK("https://pbs.twimg.com/profile_images/1038331271108341762/TPuwz6wc.jpg","View")</f>
        <v>View</v>
      </c>
    </row>
    <row r="1967" spans="1:21" ht="102">
      <c r="A1967" s="6">
        <v>43440.95716435185</v>
      </c>
      <c r="B1967" s="7" t="str">
        <f>HYPERLINK("https://twitter.com/GuerreroConc","@GuerreroConc")</f>
        <v>@GuerreroConc</v>
      </c>
      <c r="C1967" s="8" t="s">
        <v>7036</v>
      </c>
      <c r="D1967" s="9" t="s">
        <v>7037</v>
      </c>
      <c r="E1967" s="10" t="str">
        <f>HYPERLINK("https://twitter.com/GuerreroConc/status/1070799624217219078","1070799624217219078")</f>
        <v>1070799624217219078</v>
      </c>
      <c r="F1967" s="12" t="s">
        <v>7038</v>
      </c>
      <c r="G1967" s="12" t="s">
        <v>7039</v>
      </c>
      <c r="H1967" s="11"/>
      <c r="I1967" s="13">
        <v>0</v>
      </c>
      <c r="J1967" s="13">
        <v>0</v>
      </c>
      <c r="K1967" s="14" t="str">
        <f>HYPERLINK("http://twitter.com/download/android","Twitter for Android")</f>
        <v>Twitter for Android</v>
      </c>
      <c r="L1967" s="13">
        <v>93</v>
      </c>
      <c r="M1967" s="13">
        <v>102</v>
      </c>
      <c r="N1967" s="13">
        <v>0</v>
      </c>
      <c r="O1967" s="15"/>
      <c r="P1967" s="6">
        <v>42664.639201388884</v>
      </c>
      <c r="Q1967" s="18" t="s">
        <v>7040</v>
      </c>
      <c r="R1967" s="19" t="s">
        <v>7041</v>
      </c>
      <c r="S1967" s="11"/>
      <c r="T1967" s="11"/>
      <c r="U1967" s="10" t="str">
        <f>HYPERLINK("https://pbs.twimg.com/profile_images/1031514543502098432/qjPGHDJA.jpg","View")</f>
        <v>View</v>
      </c>
    </row>
    <row r="1968" spans="1:21" ht="40.799999999999997">
      <c r="A1968" s="6">
        <v>43440.956631944442</v>
      </c>
      <c r="B1968" s="7" t="str">
        <f>HYPERLINK("https://twitter.com/migupelo2","@migupelo2")</f>
        <v>@migupelo2</v>
      </c>
      <c r="C1968" s="8" t="s">
        <v>1976</v>
      </c>
      <c r="D1968" s="9" t="s">
        <v>3881</v>
      </c>
      <c r="E1968" s="10" t="str">
        <f>HYPERLINK("https://twitter.com/migupelo2/status/1070799432986316806","1070799432986316806")</f>
        <v>1070799432986316806</v>
      </c>
      <c r="F1968" s="12" t="s">
        <v>3884</v>
      </c>
      <c r="G1968" s="11"/>
      <c r="H1968" s="11"/>
      <c r="I1968" s="13">
        <v>0</v>
      </c>
      <c r="J1968" s="13">
        <v>0</v>
      </c>
      <c r="K1968" s="14" t="str">
        <f>HYPERLINK("http://twitter.com","Twitter Web Client")</f>
        <v>Twitter Web Client</v>
      </c>
      <c r="L1968" s="13">
        <v>266</v>
      </c>
      <c r="M1968" s="13">
        <v>771</v>
      </c>
      <c r="N1968" s="13">
        <v>18</v>
      </c>
      <c r="O1968" s="15"/>
      <c r="P1968" s="6">
        <v>40477.868043981478</v>
      </c>
      <c r="Q1968" s="11"/>
      <c r="R1968" s="19" t="s">
        <v>1980</v>
      </c>
      <c r="S1968" s="11"/>
      <c r="T1968" s="11"/>
      <c r="U1968" s="10" t="str">
        <f>HYPERLINK("https://pbs.twimg.com/profile_images/2906316440/4ed1570f50fd6f70f1b28d458997dd81.jpeg","View")</f>
        <v>View</v>
      </c>
    </row>
    <row r="1969" spans="1:21" ht="71.400000000000006">
      <c r="A1969" s="6">
        <v>43440.956469907411</v>
      </c>
      <c r="B1969" s="7" t="str">
        <f>HYPERLINK("https://twitter.com/Annamar457","@Annamar457")</f>
        <v>@Annamar457</v>
      </c>
      <c r="C1969" s="8" t="s">
        <v>3886</v>
      </c>
      <c r="D1969" s="9" t="s">
        <v>3887</v>
      </c>
      <c r="E1969" s="10" t="str">
        <f>HYPERLINK("https://twitter.com/Annamar457/status/1070799373506879488","1070799373506879488")</f>
        <v>1070799373506879488</v>
      </c>
      <c r="F1969" s="12" t="s">
        <v>3890</v>
      </c>
      <c r="G1969" s="12" t="s">
        <v>3891</v>
      </c>
      <c r="H1969" s="11"/>
      <c r="I1969" s="13">
        <v>0</v>
      </c>
      <c r="J1969" s="13">
        <v>2</v>
      </c>
      <c r="K1969" s="14" t="str">
        <f>HYPERLINK("http://twitter.com/download/iphone","Twitter for iPhone")</f>
        <v>Twitter for iPhone</v>
      </c>
      <c r="L1969" s="13">
        <v>287</v>
      </c>
      <c r="M1969" s="13">
        <v>264</v>
      </c>
      <c r="N1969" s="13">
        <v>1</v>
      </c>
      <c r="O1969" s="15"/>
      <c r="P1969" s="6">
        <v>41729.669374999998</v>
      </c>
      <c r="Q1969" s="18" t="s">
        <v>3892</v>
      </c>
      <c r="R1969" s="19" t="s">
        <v>3893</v>
      </c>
      <c r="S1969" s="11"/>
      <c r="T1969" s="11"/>
      <c r="U1969" s="10" t="str">
        <f>HYPERLINK("https://pbs.twimg.com/profile_images/1069348062781456384/mAOQ8ahM.jpg","View")</f>
        <v>View</v>
      </c>
    </row>
    <row r="1970" spans="1:21" ht="51">
      <c r="A1970" s="6">
        <v>43440.956319444449</v>
      </c>
      <c r="B1970" s="7" t="str">
        <f>HYPERLINK("https://twitter.com/Olguislc","@Olguislc")</f>
        <v>@Olguislc</v>
      </c>
      <c r="C1970" s="8" t="s">
        <v>3896</v>
      </c>
      <c r="D1970" s="9" t="s">
        <v>3897</v>
      </c>
      <c r="E1970" s="10" t="str">
        <f>HYPERLINK("https://twitter.com/Olguislc/status/1070799319119335424","1070799319119335424")</f>
        <v>1070799319119335424</v>
      </c>
      <c r="F1970" s="11"/>
      <c r="G1970" s="12" t="s">
        <v>3900</v>
      </c>
      <c r="H1970" s="11"/>
      <c r="I1970" s="13">
        <v>23</v>
      </c>
      <c r="J1970" s="13">
        <v>13</v>
      </c>
      <c r="K1970" s="14" t="str">
        <f>HYPERLINK("http://twitter.com/download/android","Twitter for Android")</f>
        <v>Twitter for Android</v>
      </c>
      <c r="L1970" s="13">
        <v>124</v>
      </c>
      <c r="M1970" s="13">
        <v>296</v>
      </c>
      <c r="N1970" s="13">
        <v>0</v>
      </c>
      <c r="O1970" s="15"/>
      <c r="P1970" s="6">
        <v>43240.417083333334</v>
      </c>
      <c r="Q1970" s="18" t="s">
        <v>1387</v>
      </c>
      <c r="R1970" s="19" t="s">
        <v>3901</v>
      </c>
      <c r="S1970" s="12" t="s">
        <v>3902</v>
      </c>
      <c r="T1970" s="11"/>
      <c r="U1970" s="10" t="str">
        <f>HYPERLINK("https://pbs.twimg.com/profile_images/1035650810036846592/_LewPonV.jpg","View")</f>
        <v>View</v>
      </c>
    </row>
    <row r="1971" spans="1:21" ht="20.399999999999999">
      <c r="A1971" s="6">
        <v>43440.956099537041</v>
      </c>
      <c r="B1971" s="7" t="str">
        <f>HYPERLINK("https://twitter.com/copiajuridica","@copiajuridica")</f>
        <v>@copiajuridica</v>
      </c>
      <c r="C1971" s="8" t="s">
        <v>7042</v>
      </c>
      <c r="D1971" s="9" t="s">
        <v>7043</v>
      </c>
      <c r="E1971" s="10" t="str">
        <f>HYPERLINK("https://twitter.com/copiajuridica/status/1070799236898439168","1070799236898439168")</f>
        <v>1070799236898439168</v>
      </c>
      <c r="F1971" s="12" t="s">
        <v>7044</v>
      </c>
      <c r="G1971" s="11"/>
      <c r="H1971" s="11"/>
      <c r="I1971" s="13">
        <v>0</v>
      </c>
      <c r="J1971" s="13">
        <v>0</v>
      </c>
      <c r="K1971" s="14" t="str">
        <f>HYPERLINK("http://www.facebook.com/twitter","Facebook")</f>
        <v>Facebook</v>
      </c>
      <c r="L1971" s="13">
        <v>73</v>
      </c>
      <c r="M1971" s="13">
        <v>272</v>
      </c>
      <c r="N1971" s="13">
        <v>1</v>
      </c>
      <c r="O1971" s="15"/>
      <c r="P1971" s="6">
        <v>42088.346412037034</v>
      </c>
      <c r="Q1971" s="11"/>
      <c r="R1971" s="17"/>
      <c r="S1971" s="12" t="s">
        <v>7045</v>
      </c>
      <c r="T1971" s="11"/>
      <c r="U1971" s="10" t="str">
        <f>HYPERLINK("https://pbs.twimg.com/profile_images/712509718355423234/-G-stV8w.jpg","View")</f>
        <v>View</v>
      </c>
    </row>
    <row r="1972" spans="1:21" ht="30.6">
      <c r="A1972" s="6">
        <v>43440.955960648149</v>
      </c>
      <c r="B1972" s="7" t="str">
        <f>HYPERLINK("https://twitter.com/enriquebao","@enriquebao")</f>
        <v>@enriquebao</v>
      </c>
      <c r="C1972" s="8" t="s">
        <v>3904</v>
      </c>
      <c r="D1972" s="9" t="s">
        <v>3905</v>
      </c>
      <c r="E1972" s="10" t="str">
        <f>HYPERLINK("https://twitter.com/enriquebao/status/1070799186906492929","1070799186906492929")</f>
        <v>1070799186906492929</v>
      </c>
      <c r="F1972" s="11"/>
      <c r="G1972" s="11"/>
      <c r="H1972" s="11"/>
      <c r="I1972" s="13">
        <v>0</v>
      </c>
      <c r="J1972" s="13">
        <v>3</v>
      </c>
      <c r="K1972" s="14" t="str">
        <f t="shared" ref="K1972:K1973" si="330">HYPERLINK("http://twitter.com/download/android","Twitter for Android")</f>
        <v>Twitter for Android</v>
      </c>
      <c r="L1972" s="13">
        <v>81</v>
      </c>
      <c r="M1972" s="13">
        <v>380</v>
      </c>
      <c r="N1972" s="13">
        <v>2</v>
      </c>
      <c r="O1972" s="15"/>
      <c r="P1972" s="6">
        <v>40310.728958333333</v>
      </c>
      <c r="Q1972" s="18" t="s">
        <v>3906</v>
      </c>
      <c r="R1972" s="19" t="s">
        <v>3907</v>
      </c>
      <c r="S1972" s="11"/>
      <c r="T1972" s="11"/>
      <c r="U1972" s="10" t="str">
        <f>HYPERLINK("https://pbs.twimg.com/profile_images/1061001858343493632/tLOWfG6x.jpg","View")</f>
        <v>View</v>
      </c>
    </row>
    <row r="1973" spans="1:21" ht="40.799999999999997">
      <c r="A1973" s="6">
        <v>43440.955625000002</v>
      </c>
      <c r="B1973" s="7" t="str">
        <f>HYPERLINK("https://twitter.com/trouroblaugrana","@trouroblaugrana")</f>
        <v>@trouroblaugrana</v>
      </c>
      <c r="C1973" s="8" t="s">
        <v>3908</v>
      </c>
      <c r="D1973" s="9" t="s">
        <v>3909</v>
      </c>
      <c r="E1973" s="10" t="str">
        <f>HYPERLINK("https://twitter.com/trouroblaugrana/status/1070799068035727361","1070799068035727361")</f>
        <v>1070799068035727361</v>
      </c>
      <c r="F1973" s="11"/>
      <c r="G1973" s="11"/>
      <c r="H1973" s="11"/>
      <c r="I1973" s="13">
        <v>0</v>
      </c>
      <c r="J1973" s="13">
        <v>0</v>
      </c>
      <c r="K1973" s="14" t="str">
        <f t="shared" si="330"/>
        <v>Twitter for Android</v>
      </c>
      <c r="L1973" s="13">
        <v>538</v>
      </c>
      <c r="M1973" s="13">
        <v>1268</v>
      </c>
      <c r="N1973" s="13">
        <v>27</v>
      </c>
      <c r="O1973" s="15"/>
      <c r="P1973" s="6">
        <v>40366.704351851848</v>
      </c>
      <c r="Q1973" s="18" t="s">
        <v>3912</v>
      </c>
      <c r="R1973" s="19" t="s">
        <v>3913</v>
      </c>
      <c r="S1973" s="12" t="s">
        <v>3914</v>
      </c>
      <c r="T1973" s="11"/>
      <c r="U1973" s="10" t="str">
        <f>HYPERLINK("https://pbs.twimg.com/profile_images/904099940145782784/37x5xRlM.jpg","View")</f>
        <v>View</v>
      </c>
    </row>
    <row r="1974" spans="1:21" ht="20.399999999999999">
      <c r="A1974" s="6">
        <v>43440.955613425926</v>
      </c>
      <c r="B1974" s="7" t="str">
        <f>HYPERLINK("https://twitter.com/NoticiasVenezue","@NoticiasVenezue")</f>
        <v>@NoticiasVenezue</v>
      </c>
      <c r="C1974" s="8" t="s">
        <v>6656</v>
      </c>
      <c r="D1974" s="9" t="s">
        <v>6657</v>
      </c>
      <c r="E1974" s="10" t="str">
        <f>HYPERLINK("https://twitter.com/NoticiasVenezue/status/1070799062834794496","1070799062834794496")</f>
        <v>1070799062834794496</v>
      </c>
      <c r="F1974" s="12" t="s">
        <v>7046</v>
      </c>
      <c r="G1974" s="11"/>
      <c r="H1974" s="11"/>
      <c r="I1974" s="13">
        <v>0</v>
      </c>
      <c r="J1974" s="13">
        <v>0</v>
      </c>
      <c r="K1974" s="14" t="str">
        <f>HYPERLINK("http://publicize.wp.com/","WordPress.com")</f>
        <v>WordPress.com</v>
      </c>
      <c r="L1974" s="13">
        <v>849965</v>
      </c>
      <c r="M1974" s="13">
        <v>107845</v>
      </c>
      <c r="N1974" s="13">
        <v>4005</v>
      </c>
      <c r="O1974" s="16" t="s">
        <v>25</v>
      </c>
      <c r="P1974" s="6">
        <v>39960.368576388893</v>
      </c>
      <c r="Q1974" s="18" t="s">
        <v>204</v>
      </c>
      <c r="R1974" s="19" t="s">
        <v>6660</v>
      </c>
      <c r="S1974" s="12" t="s">
        <v>6661</v>
      </c>
      <c r="T1974" s="11"/>
      <c r="U1974" s="10" t="str">
        <f>HYPERLINK("https://pbs.twimg.com/profile_images/1051102549061849088/xDOWgbtI.jpg","View")</f>
        <v>View</v>
      </c>
    </row>
    <row r="1975" spans="1:21" ht="20.399999999999999">
      <c r="A1975" s="6">
        <v>43440.955370370371</v>
      </c>
      <c r="B1975" s="7" t="str">
        <f>HYPERLINK("https://twitter.com/Trompeta36","@Trompeta36")</f>
        <v>@Trompeta36</v>
      </c>
      <c r="C1975" s="8" t="s">
        <v>7047</v>
      </c>
      <c r="D1975" s="9" t="s">
        <v>2374</v>
      </c>
      <c r="E1975" s="10" t="str">
        <f>HYPERLINK("https://twitter.com/Trompeta36/status/1070798973055721472","1070798973055721472")</f>
        <v>1070798973055721472</v>
      </c>
      <c r="F1975" s="12" t="s">
        <v>7048</v>
      </c>
      <c r="G1975" s="11"/>
      <c r="H1975" s="11"/>
      <c r="I1975" s="13">
        <v>0</v>
      </c>
      <c r="J1975" s="13">
        <v>0</v>
      </c>
      <c r="K1975" s="14" t="str">
        <f>HYPERLINK("http://www.facebook.com/twitter","Facebook")</f>
        <v>Facebook</v>
      </c>
      <c r="L1975" s="13">
        <v>2244</v>
      </c>
      <c r="M1975" s="13">
        <v>2948</v>
      </c>
      <c r="N1975" s="13">
        <v>21</v>
      </c>
      <c r="O1975" s="15"/>
      <c r="P1975" s="6">
        <v>40835.551631944443</v>
      </c>
      <c r="Q1975" s="18" t="s">
        <v>7049</v>
      </c>
      <c r="R1975" s="19" t="s">
        <v>7050</v>
      </c>
      <c r="S1975" s="11"/>
      <c r="T1975" s="11"/>
      <c r="U1975" s="10" t="str">
        <f>HYPERLINK("https://pbs.twimg.com/profile_images/723132334489346048/JJaObwC9.jpg","View")</f>
        <v>View</v>
      </c>
    </row>
    <row r="1976" spans="1:21" ht="40.799999999999997">
      <c r="A1976" s="6">
        <v>43440.954826388886</v>
      </c>
      <c r="B1976" s="7" t="str">
        <f>HYPERLINK("https://twitter.com/soypin","@soypin")</f>
        <v>@soypin</v>
      </c>
      <c r="C1976" s="8" t="s">
        <v>3917</v>
      </c>
      <c r="D1976" s="9" t="s">
        <v>3918</v>
      </c>
      <c r="E1976" s="10" t="str">
        <f>HYPERLINK("https://twitter.com/soypin/status/1070798778318446594","1070798778318446594")</f>
        <v>1070798778318446594</v>
      </c>
      <c r="F1976" s="12" t="s">
        <v>3920</v>
      </c>
      <c r="G1976" s="11"/>
      <c r="H1976" s="11"/>
      <c r="I1976" s="13">
        <v>0</v>
      </c>
      <c r="J1976" s="13">
        <v>0</v>
      </c>
      <c r="K1976" s="14" t="str">
        <f>HYPERLINK("http://twitter.com","Twitter Web Client")</f>
        <v>Twitter Web Client</v>
      </c>
      <c r="L1976" s="13">
        <v>43</v>
      </c>
      <c r="M1976" s="13">
        <v>154</v>
      </c>
      <c r="N1976" s="13">
        <v>0</v>
      </c>
      <c r="O1976" s="15"/>
      <c r="P1976" s="6">
        <v>40372.464803240742</v>
      </c>
      <c r="Q1976" s="11"/>
      <c r="R1976" s="19" t="s">
        <v>3922</v>
      </c>
      <c r="S1976" s="11"/>
      <c r="T1976" s="11"/>
      <c r="U1976" s="10" t="str">
        <f>HYPERLINK("https://pbs.twimg.com/profile_images/1052836624961363969/nvcE0XCL.jpg","View")</f>
        <v>View</v>
      </c>
    </row>
    <row r="1977" spans="1:21" ht="30.6">
      <c r="A1977" s="6">
        <v>43440.954710648148</v>
      </c>
      <c r="B1977" s="7" t="str">
        <f>HYPERLINK("https://twitter.com/CharoRgova","@CharoRgova")</f>
        <v>@CharoRgova</v>
      </c>
      <c r="C1977" s="8" t="s">
        <v>7051</v>
      </c>
      <c r="D1977" s="9" t="s">
        <v>2014</v>
      </c>
      <c r="E1977" s="10" t="str">
        <f>HYPERLINK("https://twitter.com/CharoRgova/status/1070798736564064256","1070798736564064256")</f>
        <v>1070798736564064256</v>
      </c>
      <c r="F1977" s="12" t="s">
        <v>2017</v>
      </c>
      <c r="G1977" s="11"/>
      <c r="H1977" s="11"/>
      <c r="I1977" s="13">
        <v>1</v>
      </c>
      <c r="J1977" s="13">
        <v>0</v>
      </c>
      <c r="K1977" s="14" t="str">
        <f t="shared" ref="K1977:K1978" si="331">HYPERLINK("http://twitter.com/download/android","Twitter for Android")</f>
        <v>Twitter for Android</v>
      </c>
      <c r="L1977" s="13">
        <v>6</v>
      </c>
      <c r="M1977" s="13">
        <v>48</v>
      </c>
      <c r="N1977" s="13">
        <v>0</v>
      </c>
      <c r="O1977" s="15"/>
      <c r="P1977" s="6">
        <v>40968.859305555554</v>
      </c>
      <c r="Q1977" s="11"/>
      <c r="R1977" s="17"/>
      <c r="S1977" s="11"/>
      <c r="T1977" s="11"/>
      <c r="U1977" s="16" t="s">
        <v>191</v>
      </c>
    </row>
    <row r="1978" spans="1:21" ht="40.799999999999997">
      <c r="A1978" s="6">
        <v>43440.952569444446</v>
      </c>
      <c r="B1978" s="7" t="str">
        <f>HYPERLINK("https://twitter.com/cansinarubia","@cansinarubia")</f>
        <v>@cansinarubia</v>
      </c>
      <c r="C1978" s="8" t="s">
        <v>7052</v>
      </c>
      <c r="D1978" s="9" t="s">
        <v>7053</v>
      </c>
      <c r="E1978" s="10" t="str">
        <f>HYPERLINK("https://twitter.com/cansinarubia/status/1070797958109642752","1070797958109642752")</f>
        <v>1070797958109642752</v>
      </c>
      <c r="F1978" s="11"/>
      <c r="G1978" s="11"/>
      <c r="H1978" s="11"/>
      <c r="I1978" s="13">
        <v>0</v>
      </c>
      <c r="J1978" s="13">
        <v>7</v>
      </c>
      <c r="K1978" s="14" t="str">
        <f t="shared" si="331"/>
        <v>Twitter for Android</v>
      </c>
      <c r="L1978" s="13">
        <v>2947</v>
      </c>
      <c r="M1978" s="13">
        <v>1993</v>
      </c>
      <c r="N1978" s="13">
        <v>8</v>
      </c>
      <c r="O1978" s="15"/>
      <c r="P1978" s="6">
        <v>43180.581828703704</v>
      </c>
      <c r="Q1978" s="11"/>
      <c r="R1978" s="19" t="s">
        <v>7054</v>
      </c>
      <c r="S1978" s="11"/>
      <c r="T1978" s="11"/>
      <c r="U1978" s="10" t="str">
        <f>HYPERLINK("https://pbs.twimg.com/profile_images/1069966143895547911/EDq44vWP.jpg","View")</f>
        <v>View</v>
      </c>
    </row>
    <row r="1979" spans="1:21" ht="40.799999999999997">
      <c r="A1979" s="6">
        <v>43440.95239583333</v>
      </c>
      <c r="B1979" s="7" t="str">
        <f>HYPERLINK("https://twitter.com/rquevedo00","@rquevedo00")</f>
        <v>@rquevedo00</v>
      </c>
      <c r="C1979" s="8" t="s">
        <v>7055</v>
      </c>
      <c r="D1979" s="9" t="s">
        <v>7056</v>
      </c>
      <c r="E1979" s="10" t="str">
        <f>HYPERLINK("https://twitter.com/rquevedo00/status/1070797894104567808","1070797894104567808")</f>
        <v>1070797894104567808</v>
      </c>
      <c r="F1979" s="12" t="s">
        <v>7057</v>
      </c>
      <c r="G1979" s="12" t="s">
        <v>7058</v>
      </c>
      <c r="H1979" s="11"/>
      <c r="I1979" s="13">
        <v>0</v>
      </c>
      <c r="J1979" s="13">
        <v>0</v>
      </c>
      <c r="K1979" s="14" t="str">
        <f>HYPERLINK("http://twitter.com/download/iphone","Twitter for iPhone")</f>
        <v>Twitter for iPhone</v>
      </c>
      <c r="L1979" s="13">
        <v>49</v>
      </c>
      <c r="M1979" s="13">
        <v>175</v>
      </c>
      <c r="N1979" s="13">
        <v>0</v>
      </c>
      <c r="O1979" s="15"/>
      <c r="P1979" s="6">
        <v>42232.961701388893</v>
      </c>
      <c r="Q1979" s="11"/>
      <c r="R1979" s="17"/>
      <c r="S1979" s="11"/>
      <c r="T1979" s="11"/>
      <c r="U1979" s="10" t="str">
        <f>HYPERLINK("https://pbs.twimg.com/profile_images/826522973158965248/Ui1E1UBQ.jpg","View")</f>
        <v>View</v>
      </c>
    </row>
    <row r="1980" spans="1:21" ht="51">
      <c r="A1980" s="6">
        <v>43440.95212962963</v>
      </c>
      <c r="B1980" s="7" t="str">
        <f>HYPERLINK("https://twitter.com/oscarclave","@oscarclave")</f>
        <v>@oscarclave</v>
      </c>
      <c r="C1980" s="8" t="s">
        <v>7059</v>
      </c>
      <c r="D1980" s="9" t="s">
        <v>7060</v>
      </c>
      <c r="E1980" s="10" t="str">
        <f>HYPERLINK("https://twitter.com/oscarclave/status/1070797799397228551","1070797799397228551")</f>
        <v>1070797799397228551</v>
      </c>
      <c r="F1980" s="11"/>
      <c r="G1980" s="12" t="s">
        <v>7061</v>
      </c>
      <c r="H1980" s="11"/>
      <c r="I1980" s="13">
        <v>1</v>
      </c>
      <c r="J1980" s="13">
        <v>0</v>
      </c>
      <c r="K1980" s="14" t="str">
        <f t="shared" ref="K1980:K1981" si="332">HYPERLINK("http://twitter.com","Twitter Web Client")</f>
        <v>Twitter Web Client</v>
      </c>
      <c r="L1980" s="13">
        <v>289</v>
      </c>
      <c r="M1980" s="13">
        <v>704</v>
      </c>
      <c r="N1980" s="13">
        <v>1</v>
      </c>
      <c r="O1980" s="15"/>
      <c r="P1980" s="6">
        <v>40555.847858796296</v>
      </c>
      <c r="Q1980" s="18" t="s">
        <v>42</v>
      </c>
      <c r="R1980" s="19" t="s">
        <v>7062</v>
      </c>
      <c r="S1980" s="11"/>
      <c r="T1980" s="11"/>
      <c r="U1980" s="10" t="str">
        <f>HYPERLINK("https://pbs.twimg.com/profile_images/468725112028405761/nDTQJwIp.jpeg","View")</f>
        <v>View</v>
      </c>
    </row>
    <row r="1981" spans="1:21" ht="51">
      <c r="A1981" s="6">
        <v>43440.951921296291</v>
      </c>
      <c r="B1981" s="7" t="str">
        <f>HYPERLINK("https://twitter.com/joseluisforteza","@joseluisforteza")</f>
        <v>@joseluisforteza</v>
      </c>
      <c r="C1981" s="8" t="s">
        <v>7063</v>
      </c>
      <c r="D1981" s="9" t="s">
        <v>7064</v>
      </c>
      <c r="E1981" s="10" t="str">
        <f>HYPERLINK("https://twitter.com/joseluisforteza/status/1070797725527142400","1070797725527142400")</f>
        <v>1070797725527142400</v>
      </c>
      <c r="F1981" s="12" t="s">
        <v>7065</v>
      </c>
      <c r="G1981" s="11"/>
      <c r="H1981" s="11"/>
      <c r="I1981" s="13">
        <v>0</v>
      </c>
      <c r="J1981" s="13">
        <v>0</v>
      </c>
      <c r="K1981" s="14" t="str">
        <f t="shared" si="332"/>
        <v>Twitter Web Client</v>
      </c>
      <c r="L1981" s="13">
        <v>257</v>
      </c>
      <c r="M1981" s="13">
        <v>519</v>
      </c>
      <c r="N1981" s="13">
        <v>9</v>
      </c>
      <c r="O1981" s="15"/>
      <c r="P1981" s="6">
        <v>40270.771932870368</v>
      </c>
      <c r="Q1981" s="18" t="s">
        <v>41</v>
      </c>
      <c r="R1981" s="19" t="s">
        <v>7066</v>
      </c>
      <c r="S1981" s="11"/>
      <c r="T1981" s="11"/>
      <c r="U1981" s="10" t="str">
        <f>HYPERLINK("https://pbs.twimg.com/profile_images/3362034286/478c274533ac4136ea87cde2f2c52c5c.jpeg","View")</f>
        <v>View</v>
      </c>
    </row>
    <row r="1982" spans="1:21" ht="51">
      <c r="A1982" s="6">
        <v>43440.951562499999</v>
      </c>
      <c r="B1982" s="7" t="str">
        <f>HYPERLINK("https://twitter.com/francisnova_145","@francisnova_145")</f>
        <v>@francisnova_145</v>
      </c>
      <c r="C1982" s="8" t="s">
        <v>4650</v>
      </c>
      <c r="D1982" s="9" t="s">
        <v>7067</v>
      </c>
      <c r="E1982" s="10" t="str">
        <f>HYPERLINK("https://twitter.com/francisnova_145/status/1070797593427488768","1070797593427488768")</f>
        <v>1070797593427488768</v>
      </c>
      <c r="F1982" s="12" t="s">
        <v>4652</v>
      </c>
      <c r="G1982" s="11"/>
      <c r="H1982" s="11"/>
      <c r="I1982" s="13">
        <v>179</v>
      </c>
      <c r="J1982" s="13">
        <v>177</v>
      </c>
      <c r="K1982" s="14" t="str">
        <f t="shared" ref="K1982:K1984" si="333">HYPERLINK("http://twitter.com/download/android","Twitter for Android")</f>
        <v>Twitter for Android</v>
      </c>
      <c r="L1982" s="13">
        <v>3392</v>
      </c>
      <c r="M1982" s="13">
        <v>5003</v>
      </c>
      <c r="N1982" s="13">
        <v>22</v>
      </c>
      <c r="O1982" s="15"/>
      <c r="P1982" s="6">
        <v>40602.003807870373</v>
      </c>
      <c r="Q1982" s="11"/>
      <c r="R1982" s="19" t="s">
        <v>4653</v>
      </c>
      <c r="S1982" s="11"/>
      <c r="T1982" s="11"/>
      <c r="U1982" s="10" t="str">
        <f>HYPERLINK("https://pbs.twimg.com/profile_images/819656530706518016/9P6i7t9y.jpg","View")</f>
        <v>View</v>
      </c>
    </row>
    <row r="1983" spans="1:21" ht="61.2">
      <c r="A1983" s="6">
        <v>43440.951296296298</v>
      </c>
      <c r="B1983" s="7" t="str">
        <f>HYPERLINK("https://twitter.com/TomsDaz18","@TomsDaz18")</f>
        <v>@TomsDaz18</v>
      </c>
      <c r="C1983" s="8" t="s">
        <v>3924</v>
      </c>
      <c r="D1983" s="9" t="s">
        <v>3925</v>
      </c>
      <c r="E1983" s="10" t="str">
        <f>HYPERLINK("https://twitter.com/TomsDaz18/status/1070797498896257025","1070797498896257025")</f>
        <v>1070797498896257025</v>
      </c>
      <c r="F1983" s="12" t="s">
        <v>3890</v>
      </c>
      <c r="G1983" s="12" t="s">
        <v>3891</v>
      </c>
      <c r="H1983" s="11"/>
      <c r="I1983" s="13">
        <v>0</v>
      </c>
      <c r="J1983" s="13">
        <v>0</v>
      </c>
      <c r="K1983" s="14" t="str">
        <f t="shared" si="333"/>
        <v>Twitter for Android</v>
      </c>
      <c r="L1983" s="13">
        <v>40</v>
      </c>
      <c r="M1983" s="13">
        <v>155</v>
      </c>
      <c r="N1983" s="13">
        <v>0</v>
      </c>
      <c r="O1983" s="15"/>
      <c r="P1983" s="6">
        <v>43414.785636574074</v>
      </c>
      <c r="Q1983" s="11"/>
      <c r="R1983" s="19" t="s">
        <v>3928</v>
      </c>
      <c r="S1983" s="11"/>
      <c r="T1983" s="11"/>
      <c r="U1983" s="10" t="str">
        <f>HYPERLINK("https://pbs.twimg.com/profile_images/1061317427395477504/6tu3Ng1f.jpg","View")</f>
        <v>View</v>
      </c>
    </row>
    <row r="1984" spans="1:21" ht="40.799999999999997">
      <c r="A1984" s="6">
        <v>43440.951087962967</v>
      </c>
      <c r="B1984" s="7" t="str">
        <f>HYPERLINK("https://twitter.com/ikaitor","@ikaitor")</f>
        <v>@ikaitor</v>
      </c>
      <c r="C1984" s="8" t="s">
        <v>7068</v>
      </c>
      <c r="D1984" s="9" t="s">
        <v>5958</v>
      </c>
      <c r="E1984" s="10" t="str">
        <f>HYPERLINK("https://twitter.com/ikaitor/status/1070797420127244289","1070797420127244289")</f>
        <v>1070797420127244289</v>
      </c>
      <c r="F1984" s="12" t="s">
        <v>5959</v>
      </c>
      <c r="G1984" s="12" t="s">
        <v>7069</v>
      </c>
      <c r="H1984" s="11"/>
      <c r="I1984" s="13">
        <v>1</v>
      </c>
      <c r="J1984" s="13">
        <v>3</v>
      </c>
      <c r="K1984" s="14" t="str">
        <f t="shared" si="333"/>
        <v>Twitter for Android</v>
      </c>
      <c r="L1984" s="13">
        <v>17212</v>
      </c>
      <c r="M1984" s="13">
        <v>1142</v>
      </c>
      <c r="N1984" s="13">
        <v>624</v>
      </c>
      <c r="O1984" s="15"/>
      <c r="P1984" s="6">
        <v>39813.739421296297</v>
      </c>
      <c r="Q1984" s="18" t="s">
        <v>307</v>
      </c>
      <c r="R1984" s="19" t="s">
        <v>7070</v>
      </c>
      <c r="S1984" s="12" t="s">
        <v>7071</v>
      </c>
      <c r="T1984" s="11"/>
      <c r="U1984" s="10" t="str">
        <f>HYPERLINK("https://pbs.twimg.com/profile_images/923654475360997377/_9yNRShJ.jpg","View")</f>
        <v>View</v>
      </c>
    </row>
    <row r="1985" spans="1:21" ht="20.399999999999999">
      <c r="A1985" s="6">
        <v>43440.949097222227</v>
      </c>
      <c r="B1985" s="7" t="str">
        <f>HYPERLINK("https://twitter.com/Carcharoth_","@Carcharoth_")</f>
        <v>@Carcharoth_</v>
      </c>
      <c r="C1985" s="8" t="s">
        <v>7072</v>
      </c>
      <c r="D1985" s="9" t="s">
        <v>2453</v>
      </c>
      <c r="E1985" s="10" t="str">
        <f>HYPERLINK("https://twitter.com/Carcharoth_/status/1070796698715328513","1070796698715328513")</f>
        <v>1070796698715328513</v>
      </c>
      <c r="F1985" s="12" t="s">
        <v>2454</v>
      </c>
      <c r="G1985" s="11"/>
      <c r="H1985" s="11"/>
      <c r="I1985" s="13">
        <v>0</v>
      </c>
      <c r="J1985" s="13">
        <v>0</v>
      </c>
      <c r="K1985" s="14" t="str">
        <f>HYPERLINK("https://www.google.com/","Google")</f>
        <v>Google</v>
      </c>
      <c r="L1985" s="13">
        <v>14</v>
      </c>
      <c r="M1985" s="13">
        <v>64</v>
      </c>
      <c r="N1985" s="13">
        <v>0</v>
      </c>
      <c r="O1985" s="15"/>
      <c r="P1985" s="6">
        <v>42128.779594907406</v>
      </c>
      <c r="Q1985" s="11"/>
      <c r="R1985" s="17"/>
      <c r="S1985" s="11"/>
      <c r="T1985" s="11"/>
      <c r="U1985" s="10" t="str">
        <f>HYPERLINK("https://pbs.twimg.com/profile_images/595267980860256256/ojZgJiT8.jpg","View")</f>
        <v>View</v>
      </c>
    </row>
    <row r="1986" spans="1:21" ht="20.399999999999999">
      <c r="A1986" s="6">
        <v>43440.94835648148</v>
      </c>
      <c r="B1986" s="7" t="str">
        <f>HYPERLINK("https://twitter.com/RASPUTI15277280","@RASPUTI15277280")</f>
        <v>@RASPUTI15277280</v>
      </c>
      <c r="C1986" s="8" t="s">
        <v>7073</v>
      </c>
      <c r="D1986" s="9" t="s">
        <v>6663</v>
      </c>
      <c r="E1986" s="10" t="str">
        <f>HYPERLINK("https://twitter.com/RASPUTI15277280/status/1070796430288269313","1070796430288269313")</f>
        <v>1070796430288269313</v>
      </c>
      <c r="F1986" s="12" t="s">
        <v>6664</v>
      </c>
      <c r="G1986" s="11"/>
      <c r="H1986" s="11"/>
      <c r="I1986" s="13">
        <v>0</v>
      </c>
      <c r="J1986" s="13">
        <v>0</v>
      </c>
      <c r="K1986" s="14" t="str">
        <f>HYPERLINK("http://twitter.com","Twitter Web Client")</f>
        <v>Twitter Web Client</v>
      </c>
      <c r="L1986" s="13">
        <v>53</v>
      </c>
      <c r="M1986" s="13">
        <v>52</v>
      </c>
      <c r="N1986" s="13">
        <v>0</v>
      </c>
      <c r="O1986" s="15"/>
      <c r="P1986" s="6">
        <v>43433.931099537032</v>
      </c>
      <c r="Q1986" s="18" t="s">
        <v>256</v>
      </c>
      <c r="R1986" s="17"/>
      <c r="S1986" s="11"/>
      <c r="T1986" s="11"/>
      <c r="U1986" s="16" t="s">
        <v>191</v>
      </c>
    </row>
    <row r="1987" spans="1:21" ht="13.2">
      <c r="A1987" s="6">
        <v>43440.948182870372</v>
      </c>
      <c r="B1987" s="7" t="str">
        <f>HYPERLINK("https://twitter.com/BotChus","@BotChus")</f>
        <v>@BotChus</v>
      </c>
      <c r="C1987" s="8" t="s">
        <v>7074</v>
      </c>
      <c r="D1987" s="9" t="s">
        <v>7075</v>
      </c>
      <c r="E1987" s="10" t="str">
        <f>HYPERLINK("https://twitter.com/BotChus/status/1070796369215086593","1070796369215086593")</f>
        <v>1070796369215086593</v>
      </c>
      <c r="F1987" s="11"/>
      <c r="G1987" s="11"/>
      <c r="H1987" s="11"/>
      <c r="I1987" s="13">
        <v>0</v>
      </c>
      <c r="J1987" s="13">
        <v>0</v>
      </c>
      <c r="K1987" s="14" t="str">
        <f>HYPERLINK("https://cheapbotsdonequick.com","Cheap Bots, Done Quick!")</f>
        <v>Cheap Bots, Done Quick!</v>
      </c>
      <c r="L1987" s="13">
        <v>28</v>
      </c>
      <c r="M1987" s="13">
        <v>0</v>
      </c>
      <c r="N1987" s="13">
        <v>0</v>
      </c>
      <c r="O1987" s="15"/>
      <c r="P1987" s="6">
        <v>42607.493842592594</v>
      </c>
      <c r="Q1987" s="18" t="s">
        <v>7076</v>
      </c>
      <c r="R1987" s="17"/>
      <c r="S1987" s="11"/>
      <c r="T1987" s="11"/>
      <c r="U1987" s="10" t="str">
        <f>HYPERLINK("https://pbs.twimg.com/profile_images/790326377140674560/gqBslm0g.jpg","View")</f>
        <v>View</v>
      </c>
    </row>
    <row r="1988" spans="1:21" ht="51">
      <c r="A1988" s="6">
        <v>43440.947696759264</v>
      </c>
      <c r="B1988" s="7" t="str">
        <f>HYPERLINK("https://twitter.com/RosaliaTranqui","@RosaliaTranqui")</f>
        <v>@RosaliaTranqui</v>
      </c>
      <c r="C1988" s="8" t="s">
        <v>7077</v>
      </c>
      <c r="D1988" s="9" t="s">
        <v>7078</v>
      </c>
      <c r="E1988" s="10" t="str">
        <f>HYPERLINK("https://twitter.com/RosaliaTranqui/status/1070796191301099521","1070796191301099521")</f>
        <v>1070796191301099521</v>
      </c>
      <c r="F1988" s="11"/>
      <c r="G1988" s="11"/>
      <c r="H1988" s="11"/>
      <c r="I1988" s="13">
        <v>0</v>
      </c>
      <c r="J1988" s="13">
        <v>0</v>
      </c>
      <c r="K1988" s="14" t="str">
        <f>HYPERLINK("http://twitter.com/download/android","Twitter for Android")</f>
        <v>Twitter for Android</v>
      </c>
      <c r="L1988" s="13">
        <v>76</v>
      </c>
      <c r="M1988" s="13">
        <v>8</v>
      </c>
      <c r="N1988" s="13">
        <v>0</v>
      </c>
      <c r="O1988" s="15"/>
      <c r="P1988" s="6">
        <v>43151.557847222226</v>
      </c>
      <c r="Q1988" s="18" t="s">
        <v>7079</v>
      </c>
      <c r="R1988" s="19" t="s">
        <v>7080</v>
      </c>
      <c r="S1988" s="11"/>
      <c r="T1988" s="11"/>
      <c r="U1988" s="10" t="str">
        <f>HYPERLINK("https://pbs.twimg.com/profile_images/1005946213584330753/qVA8wYQG.jpg","View")</f>
        <v>View</v>
      </c>
    </row>
    <row r="1989" spans="1:21" ht="61.2">
      <c r="A1989" s="6">
        <v>43440.947685185187</v>
      </c>
      <c r="B1989" s="7" t="str">
        <f>HYPERLINK("https://twitter.com/mmillan23","@mmillan23")</f>
        <v>@mmillan23</v>
      </c>
      <c r="C1989" s="8" t="s">
        <v>1081</v>
      </c>
      <c r="D1989" s="9" t="s">
        <v>3930</v>
      </c>
      <c r="E1989" s="10" t="str">
        <f>HYPERLINK("https://twitter.com/mmillan23/status/1070796189195534336","1070796189195534336")</f>
        <v>1070796189195534336</v>
      </c>
      <c r="F1989" s="12" t="s">
        <v>3933</v>
      </c>
      <c r="G1989" s="11"/>
      <c r="H1989" s="11"/>
      <c r="I1989" s="13">
        <v>0</v>
      </c>
      <c r="J1989" s="13">
        <v>0</v>
      </c>
      <c r="K1989" s="14" t="str">
        <f>HYPERLINK("http://twitter.com/download/iphone","Twitter for iPhone")</f>
        <v>Twitter for iPhone</v>
      </c>
      <c r="L1989" s="13">
        <v>135</v>
      </c>
      <c r="M1989" s="13">
        <v>169</v>
      </c>
      <c r="N1989" s="13">
        <v>2</v>
      </c>
      <c r="O1989" s="15"/>
      <c r="P1989" s="6">
        <v>40505.929178240738</v>
      </c>
      <c r="Q1989" s="18" t="s">
        <v>1086</v>
      </c>
      <c r="R1989" s="19" t="s">
        <v>1087</v>
      </c>
      <c r="S1989" s="11"/>
      <c r="T1989" s="11"/>
      <c r="U1989" s="10" t="str">
        <f>HYPERLINK("https://pbs.twimg.com/profile_images/579562269106929665/XVgiR2M1.jpg","View")</f>
        <v>View</v>
      </c>
    </row>
    <row r="1990" spans="1:21" ht="30.6">
      <c r="A1990" s="6">
        <v>43440.946840277778</v>
      </c>
      <c r="B1990" s="7" t="str">
        <f>HYPERLINK("https://twitter.com/ffbang","@ffbang")</f>
        <v>@ffbang</v>
      </c>
      <c r="C1990" s="8" t="s">
        <v>7081</v>
      </c>
      <c r="D1990" s="9" t="s">
        <v>7082</v>
      </c>
      <c r="E1990" s="10" t="str">
        <f>HYPERLINK("https://twitter.com/ffbang/status/1070795884554870784","1070795884554870784")</f>
        <v>1070795884554870784</v>
      </c>
      <c r="F1990" s="12" t="s">
        <v>7083</v>
      </c>
      <c r="G1990" s="11"/>
      <c r="H1990" s="11"/>
      <c r="I1990" s="13">
        <v>0</v>
      </c>
      <c r="J1990" s="13">
        <v>0</v>
      </c>
      <c r="K1990" s="14" t="str">
        <f>HYPERLINK("http://www.facebook.com/twitter","Facebook")</f>
        <v>Facebook</v>
      </c>
      <c r="L1990" s="13">
        <v>73</v>
      </c>
      <c r="M1990" s="13">
        <v>132</v>
      </c>
      <c r="N1990" s="13">
        <v>5</v>
      </c>
      <c r="O1990" s="15"/>
      <c r="P1990" s="6">
        <v>40629.902280092589</v>
      </c>
      <c r="Q1990" s="18" t="s">
        <v>1086</v>
      </c>
      <c r="R1990" s="19" t="s">
        <v>7084</v>
      </c>
      <c r="S1990" s="11"/>
      <c r="T1990" s="11"/>
      <c r="U1990" s="10" t="str">
        <f>HYPERLINK("https://pbs.twimg.com/profile_images/714938582969020416/DJvp7iYY.jpg","View")</f>
        <v>View</v>
      </c>
    </row>
    <row r="1991" spans="1:21" ht="51">
      <c r="A1991" s="6">
        <v>43440.946701388893</v>
      </c>
      <c r="B1991" s="7" t="str">
        <f>HYPERLINK("https://twitter.com/IgnatiusJReil12","@IgnatiusJReil12")</f>
        <v>@IgnatiusJReil12</v>
      </c>
      <c r="C1991" s="8" t="s">
        <v>3935</v>
      </c>
      <c r="D1991" s="9" t="s">
        <v>3936</v>
      </c>
      <c r="E1991" s="10" t="str">
        <f>HYPERLINK("https://twitter.com/IgnatiusJReil12/status/1070795834286059521","1070795834286059521")</f>
        <v>1070795834286059521</v>
      </c>
      <c r="F1991" s="11"/>
      <c r="G1991" s="11"/>
      <c r="H1991" s="11"/>
      <c r="I1991" s="13">
        <v>0</v>
      </c>
      <c r="J1991" s="13">
        <v>1</v>
      </c>
      <c r="K1991" s="14" t="str">
        <f>HYPERLINK("http://twitter.com/download/android","Twitter for Android")</f>
        <v>Twitter for Android</v>
      </c>
      <c r="L1991" s="13">
        <v>73</v>
      </c>
      <c r="M1991" s="13">
        <v>241</v>
      </c>
      <c r="N1991" s="13">
        <v>0</v>
      </c>
      <c r="O1991" s="15"/>
      <c r="P1991" s="6">
        <v>43254.66238425926</v>
      </c>
      <c r="Q1991" s="11"/>
      <c r="R1991" s="19" t="s">
        <v>3938</v>
      </c>
      <c r="S1991" s="11"/>
      <c r="T1991" s="11"/>
      <c r="U1991" s="10" t="str">
        <f>HYPERLINK("https://pbs.twimg.com/profile_images/1003274660841213952/QHJ-Mp5P.jpg","View")</f>
        <v>View</v>
      </c>
    </row>
    <row r="1992" spans="1:21" ht="20.399999999999999">
      <c r="A1992" s="6">
        <v>43440.946631944447</v>
      </c>
      <c r="B1992" s="7" t="str">
        <f>HYPERLINK("https://twitter.com/sumariumcom","@sumariumcom")</f>
        <v>@sumariumcom</v>
      </c>
      <c r="C1992" s="8" t="s">
        <v>4153</v>
      </c>
      <c r="D1992" s="9" t="s">
        <v>4154</v>
      </c>
      <c r="E1992" s="10" t="str">
        <f>HYPERLINK("https://twitter.com/sumariumcom/status/1070795805555126272","1070795805555126272")</f>
        <v>1070795805555126272</v>
      </c>
      <c r="F1992" s="12" t="s">
        <v>4156</v>
      </c>
      <c r="G1992" s="12" t="s">
        <v>4157</v>
      </c>
      <c r="H1992" s="11"/>
      <c r="I1992" s="13">
        <v>0</v>
      </c>
      <c r="J1992" s="13">
        <v>0</v>
      </c>
      <c r="K1992" s="14" t="str">
        <f>HYPERLINK("https://about.twitter.com/products/tweetdeck","TweetDeck")</f>
        <v>TweetDeck</v>
      </c>
      <c r="L1992" s="13">
        <v>164401</v>
      </c>
      <c r="M1992" s="13">
        <v>996</v>
      </c>
      <c r="N1992" s="13">
        <v>1122</v>
      </c>
      <c r="O1992" s="15"/>
      <c r="P1992" s="6">
        <v>40977.809594907405</v>
      </c>
      <c r="Q1992" s="18" t="s">
        <v>4159</v>
      </c>
      <c r="R1992" s="17"/>
      <c r="S1992" s="12" t="s">
        <v>4160</v>
      </c>
      <c r="T1992" s="11"/>
      <c r="U1992" s="10" t="str">
        <f>HYPERLINK("https://pbs.twimg.com/profile_images/1061987847874469888/mok5IDTt.jpg","View")</f>
        <v>View</v>
      </c>
    </row>
    <row r="1993" spans="1:21" ht="40.799999999999997">
      <c r="A1993" s="6">
        <v>43440.946458333332</v>
      </c>
      <c r="B1993" s="7" t="str">
        <f>HYPERLINK("https://twitter.com/Vox_Toledo","@Vox_Toledo")</f>
        <v>@Vox_Toledo</v>
      </c>
      <c r="C1993" s="8" t="s">
        <v>7085</v>
      </c>
      <c r="D1993" s="9" t="s">
        <v>5903</v>
      </c>
      <c r="E1993" s="10" t="str">
        <f>HYPERLINK("https://twitter.com/Vox_Toledo/status/1070795743865262080","1070795743865262080")</f>
        <v>1070795743865262080</v>
      </c>
      <c r="F1993" s="12" t="s">
        <v>7086</v>
      </c>
      <c r="G1993" s="11"/>
      <c r="H1993" s="11"/>
      <c r="I1993" s="13">
        <v>3</v>
      </c>
      <c r="J1993" s="13">
        <v>6</v>
      </c>
      <c r="K1993" s="14" t="str">
        <f>HYPERLINK("http://www.facebook.com/twitter","Facebook")</f>
        <v>Facebook</v>
      </c>
      <c r="L1993" s="13">
        <v>2781</v>
      </c>
      <c r="M1993" s="13">
        <v>584</v>
      </c>
      <c r="N1993" s="13">
        <v>23</v>
      </c>
      <c r="O1993" s="15"/>
      <c r="P1993" s="6">
        <v>41699.864016203705</v>
      </c>
      <c r="Q1993" s="18" t="s">
        <v>7087</v>
      </c>
      <c r="R1993" s="19" t="s">
        <v>7088</v>
      </c>
      <c r="S1993" s="12" t="s">
        <v>5519</v>
      </c>
      <c r="T1993" s="11"/>
      <c r="U1993" s="10" t="str">
        <f>HYPERLINK("https://pbs.twimg.com/profile_images/1064497036190470146/Vn3FBWPT.jpg","View")</f>
        <v>View</v>
      </c>
    </row>
    <row r="1994" spans="1:21" ht="30.6">
      <c r="A1994" s="6">
        <v>43440.944513888884</v>
      </c>
      <c r="B1994" s="7" t="str">
        <f>HYPERLINK("https://twitter.com/Liverdades","@Liverdades")</f>
        <v>@Liverdades</v>
      </c>
      <c r="C1994" s="8" t="s">
        <v>7089</v>
      </c>
      <c r="D1994" s="9" t="s">
        <v>5958</v>
      </c>
      <c r="E1994" s="10" t="str">
        <f>HYPERLINK("https://twitter.com/Liverdades/status/1070795040639791104","1070795040639791104")</f>
        <v>1070795040639791104</v>
      </c>
      <c r="F1994" s="12" t="s">
        <v>7090</v>
      </c>
      <c r="G1994" s="12" t="s">
        <v>7091</v>
      </c>
      <c r="H1994" s="11"/>
      <c r="I1994" s="13">
        <v>0</v>
      </c>
      <c r="J1994" s="13">
        <v>0</v>
      </c>
      <c r="K1994" s="14" t="str">
        <f>HYPERLINK("https://dlvrit.com/","dlvr.it")</f>
        <v>dlvr.it</v>
      </c>
      <c r="L1994" s="13">
        <v>3503</v>
      </c>
      <c r="M1994" s="13">
        <v>3470</v>
      </c>
      <c r="N1994" s="13">
        <v>68</v>
      </c>
      <c r="O1994" s="15"/>
      <c r="P1994" s="6">
        <v>41743.492881944447</v>
      </c>
      <c r="Q1994" s="18" t="s">
        <v>1325</v>
      </c>
      <c r="R1994" s="19" t="s">
        <v>7092</v>
      </c>
      <c r="S1994" s="12" t="s">
        <v>7093</v>
      </c>
      <c r="T1994" s="11"/>
      <c r="U1994" s="10" t="str">
        <f>HYPERLINK("https://pbs.twimg.com/profile_images/685407826445996032/eVcXWMVo.png","View")</f>
        <v>View</v>
      </c>
    </row>
    <row r="1995" spans="1:21" ht="20.399999999999999">
      <c r="A1995" s="6">
        <v>43440.944328703699</v>
      </c>
      <c r="B1995" s="7" t="str">
        <f>HYPERLINK("https://twitter.com/JuanJos43680212","@JuanJos43680212")</f>
        <v>@JuanJos43680212</v>
      </c>
      <c r="C1995" s="8" t="s">
        <v>7094</v>
      </c>
      <c r="D1995" s="9" t="s">
        <v>7095</v>
      </c>
      <c r="E1995" s="10" t="str">
        <f>HYPERLINK("https://twitter.com/JuanJos43680212/status/1070794971803017218","1070794971803017218")</f>
        <v>1070794971803017218</v>
      </c>
      <c r="F1995" s="12" t="s">
        <v>7096</v>
      </c>
      <c r="G1995" s="11"/>
      <c r="H1995" s="11"/>
      <c r="I1995" s="13">
        <v>0</v>
      </c>
      <c r="J1995" s="13">
        <v>0</v>
      </c>
      <c r="K1995" s="14" t="str">
        <f>HYPERLINK("http://twitter.com/download/android","Twitter for Android")</f>
        <v>Twitter for Android</v>
      </c>
      <c r="L1995" s="13">
        <v>320</v>
      </c>
      <c r="M1995" s="13">
        <v>646</v>
      </c>
      <c r="N1995" s="13">
        <v>0</v>
      </c>
      <c r="O1995" s="15"/>
      <c r="P1995" s="6">
        <v>42168.550833333335</v>
      </c>
      <c r="Q1995" s="11"/>
      <c r="R1995" s="19" t="s">
        <v>7097</v>
      </c>
      <c r="S1995" s="11"/>
      <c r="T1995" s="11"/>
      <c r="U1995" s="10" t="str">
        <f>HYPERLINK("https://pbs.twimg.com/profile_images/854368484586921985/mKj7tTpS.jpg","View")</f>
        <v>View</v>
      </c>
    </row>
    <row r="1996" spans="1:21" ht="81.599999999999994">
      <c r="A1996" s="6">
        <v>43440.943738425922</v>
      </c>
      <c r="B1996" s="7" t="str">
        <f>HYPERLINK("https://twitter.com/franciscoaceta","@franciscoaceta")</f>
        <v>@franciscoaceta</v>
      </c>
      <c r="C1996" s="8" t="s">
        <v>7098</v>
      </c>
      <c r="D1996" s="9" t="s">
        <v>7099</v>
      </c>
      <c r="E1996" s="10" t="str">
        <f>HYPERLINK("https://twitter.com/franciscoaceta/status/1070794758627446789","1070794758627446789")</f>
        <v>1070794758627446789</v>
      </c>
      <c r="F1996" s="12" t="s">
        <v>7100</v>
      </c>
      <c r="G1996" s="12" t="s">
        <v>7101</v>
      </c>
      <c r="H1996" s="11"/>
      <c r="I1996" s="13">
        <v>1</v>
      </c>
      <c r="J1996" s="13">
        <v>1</v>
      </c>
      <c r="K1996" s="14" t="str">
        <f>HYPERLINK("http://twitter.com","Twitter Web Client")</f>
        <v>Twitter Web Client</v>
      </c>
      <c r="L1996" s="13">
        <v>38935</v>
      </c>
      <c r="M1996" s="13">
        <v>38972</v>
      </c>
      <c r="N1996" s="13">
        <v>96</v>
      </c>
      <c r="O1996" s="15"/>
      <c r="P1996" s="6">
        <v>41115.777141203704</v>
      </c>
      <c r="Q1996" s="18" t="s">
        <v>3019</v>
      </c>
      <c r="R1996" s="19" t="s">
        <v>7102</v>
      </c>
      <c r="S1996" s="11"/>
      <c r="T1996" s="11"/>
      <c r="U1996" s="10" t="str">
        <f>HYPERLINK("https://pbs.twimg.com/profile_images/900404378540154881/3e66CJXI.jpg","View")</f>
        <v>View</v>
      </c>
    </row>
    <row r="1997" spans="1:21" ht="51">
      <c r="A1997" s="6">
        <v>43440.943194444444</v>
      </c>
      <c r="B1997" s="7" t="str">
        <f>HYPERLINK("https://twitter.com/SoriaEqsosa","@SoriaEqsosa")</f>
        <v>@SoriaEqsosa</v>
      </c>
      <c r="C1997" s="8" t="s">
        <v>7103</v>
      </c>
      <c r="D1997" s="9" t="s">
        <v>7104</v>
      </c>
      <c r="E1997" s="10" t="str">
        <f>HYPERLINK("https://twitter.com/SoriaEqsosa/status/1070794561230905345","1070794561230905345")</f>
        <v>1070794561230905345</v>
      </c>
      <c r="F1997" s="11"/>
      <c r="G1997" s="11"/>
      <c r="H1997" s="11"/>
      <c r="I1997" s="13">
        <v>0</v>
      </c>
      <c r="J1997" s="13">
        <v>0</v>
      </c>
      <c r="K1997" s="14" t="str">
        <f>HYPERLINK("http://twitter.com/download/iphone","Twitter for iPhone")</f>
        <v>Twitter for iPhone</v>
      </c>
      <c r="L1997" s="13">
        <v>58</v>
      </c>
      <c r="M1997" s="13">
        <v>214</v>
      </c>
      <c r="N1997" s="13">
        <v>1</v>
      </c>
      <c r="O1997" s="15"/>
      <c r="P1997" s="6">
        <v>42453.489664351851</v>
      </c>
      <c r="Q1997" s="11"/>
      <c r="R1997" s="17"/>
      <c r="S1997" s="11"/>
      <c r="T1997" s="11"/>
      <c r="U1997" s="10" t="str">
        <f>HYPERLINK("https://pbs.twimg.com/profile_images/903308692552077313/JKZrsQil.jpg","View")</f>
        <v>View</v>
      </c>
    </row>
    <row r="1998" spans="1:21" ht="20.399999999999999">
      <c r="A1998" s="6">
        <v>43440.943090277782</v>
      </c>
      <c r="B1998" s="7" t="str">
        <f>HYPERLINK("https://twitter.com/pableninn","@pableninn")</f>
        <v>@pableninn</v>
      </c>
      <c r="C1998" s="8" t="s">
        <v>7105</v>
      </c>
      <c r="D1998" s="9" t="s">
        <v>6430</v>
      </c>
      <c r="E1998" s="10" t="str">
        <f>HYPERLINK("https://twitter.com/pableninn/status/1070794524534829056","1070794524534829056")</f>
        <v>1070794524534829056</v>
      </c>
      <c r="F1998" s="12" t="s">
        <v>7106</v>
      </c>
      <c r="G1998" s="12" t="s">
        <v>7107</v>
      </c>
      <c r="H1998" s="11"/>
      <c r="I1998" s="13">
        <v>0</v>
      </c>
      <c r="J1998" s="13">
        <v>0</v>
      </c>
      <c r="K1998" s="14" t="str">
        <f>HYPERLINK("https://dlvrit.com/","dlvr.it")</f>
        <v>dlvr.it</v>
      </c>
      <c r="L1998" s="13">
        <v>410</v>
      </c>
      <c r="M1998" s="13">
        <v>2780</v>
      </c>
      <c r="N1998" s="13">
        <v>4</v>
      </c>
      <c r="O1998" s="15"/>
      <c r="P1998" s="6">
        <v>42821.559016203704</v>
      </c>
      <c r="Q1998" s="11"/>
      <c r="R1998" s="17"/>
      <c r="S1998" s="11"/>
      <c r="T1998" s="11"/>
      <c r="U1998" s="10" t="str">
        <f>HYPERLINK("https://pbs.twimg.com/profile_images/846327765121011714/fTE1mBtG.jpg","View")</f>
        <v>View</v>
      </c>
    </row>
    <row r="1999" spans="1:21" ht="30.6">
      <c r="A1999" s="6">
        <v>43440.942361111112</v>
      </c>
      <c r="B1999" s="7" t="str">
        <f>HYPERLINK("https://twitter.com/11adrianp","@11adrianp")</f>
        <v>@11adrianp</v>
      </c>
      <c r="C1999" s="8" t="s">
        <v>7108</v>
      </c>
      <c r="D1999" s="9" t="s">
        <v>6163</v>
      </c>
      <c r="E1999" s="10" t="str">
        <f>HYPERLINK("https://twitter.com/11adrianp/status/1070794257940824065","1070794257940824065")</f>
        <v>1070794257940824065</v>
      </c>
      <c r="F1999" s="12" t="s">
        <v>2454</v>
      </c>
      <c r="G1999" s="11"/>
      <c r="H1999" s="11"/>
      <c r="I1999" s="13">
        <v>0</v>
      </c>
      <c r="J1999" s="13">
        <v>0</v>
      </c>
      <c r="K1999" s="14" t="str">
        <f t="shared" ref="K1999:K2000" si="334">HYPERLINK("https://www.google.com/","Google")</f>
        <v>Google</v>
      </c>
      <c r="L1999" s="13">
        <v>10</v>
      </c>
      <c r="M1999" s="13">
        <v>49</v>
      </c>
      <c r="N1999" s="13">
        <v>0</v>
      </c>
      <c r="O1999" s="15"/>
      <c r="P1999" s="6">
        <v>41357.49454861111</v>
      </c>
      <c r="Q1999" s="11"/>
      <c r="R1999" s="19" t="s">
        <v>7109</v>
      </c>
      <c r="S1999" s="11"/>
      <c r="T1999" s="11"/>
      <c r="U1999" s="10" t="str">
        <f>HYPERLINK("https://pbs.twimg.com/profile_images/550610263695953920/phQcI98e.jpeg","View")</f>
        <v>View</v>
      </c>
    </row>
    <row r="2000" spans="1:21" ht="20.399999999999999">
      <c r="A2000" s="6">
        <v>43440.942361111112</v>
      </c>
      <c r="B2000" s="7" t="str">
        <f>HYPERLINK("https://twitter.com/Lolo_Guadiaro","@Lolo_Guadiaro")</f>
        <v>@Lolo_Guadiaro</v>
      </c>
      <c r="C2000" s="8" t="s">
        <v>7110</v>
      </c>
      <c r="D2000" s="9" t="s">
        <v>6481</v>
      </c>
      <c r="E2000" s="10" t="str">
        <f>HYPERLINK("https://twitter.com/Lolo_Guadiaro/status/1070794257395527680","1070794257395527680")</f>
        <v>1070794257395527680</v>
      </c>
      <c r="F2000" s="12" t="s">
        <v>6482</v>
      </c>
      <c r="G2000" s="11"/>
      <c r="H2000" s="11"/>
      <c r="I2000" s="13">
        <v>0</v>
      </c>
      <c r="J2000" s="13">
        <v>0</v>
      </c>
      <c r="K2000" s="14" t="str">
        <f t="shared" si="334"/>
        <v>Google</v>
      </c>
      <c r="L2000" s="13">
        <v>7</v>
      </c>
      <c r="M2000" s="13">
        <v>31</v>
      </c>
      <c r="N2000" s="13">
        <v>0</v>
      </c>
      <c r="O2000" s="15"/>
      <c r="P2000" s="6">
        <v>41466.983263888891</v>
      </c>
      <c r="Q2000" s="18" t="s">
        <v>7111</v>
      </c>
      <c r="R2000" s="17"/>
      <c r="S2000" s="11"/>
      <c r="T2000" s="11"/>
      <c r="U2000" s="10" t="str">
        <f>HYPERLINK("https://pbs.twimg.com/profile_images/423541531409408000/BL24pypS.jpeg","View")</f>
        <v>View</v>
      </c>
    </row>
    <row r="2001" spans="1:21" ht="40.799999999999997">
      <c r="A2001" s="6">
        <v>43440.942303240736</v>
      </c>
      <c r="B2001" s="7" t="str">
        <f>HYPERLINK("https://twitter.com/Taishinaru","@Taishinaru")</f>
        <v>@Taishinaru</v>
      </c>
      <c r="C2001" s="8" t="s">
        <v>4961</v>
      </c>
      <c r="D2001" s="9" t="s">
        <v>7112</v>
      </c>
      <c r="E2001" s="10" t="str">
        <f>HYPERLINK("https://twitter.com/Taishinaru/status/1070794238068252672","1070794238068252672")</f>
        <v>1070794238068252672</v>
      </c>
      <c r="F2001" s="12" t="s">
        <v>2803</v>
      </c>
      <c r="G2001" s="11"/>
      <c r="H2001" s="11"/>
      <c r="I2001" s="13">
        <v>0</v>
      </c>
      <c r="J2001" s="13">
        <v>1</v>
      </c>
      <c r="K2001" s="14" t="str">
        <f>HYPERLINK("http://twitter.com/download/android","Twitter for Android")</f>
        <v>Twitter for Android</v>
      </c>
      <c r="L2001" s="13">
        <v>1166</v>
      </c>
      <c r="M2001" s="13">
        <v>1167</v>
      </c>
      <c r="N2001" s="13">
        <v>3</v>
      </c>
      <c r="O2001" s="15"/>
      <c r="P2001" s="6">
        <v>42407.544259259259</v>
      </c>
      <c r="Q2001" s="11"/>
      <c r="R2001" s="19" t="s">
        <v>7113</v>
      </c>
      <c r="S2001" s="11"/>
      <c r="T2001" s="11"/>
      <c r="U2001" s="10" t="str">
        <f>HYPERLINK("https://pbs.twimg.com/profile_images/1070313511279046656/X-DFbkeg.jpg","View")</f>
        <v>View</v>
      </c>
    </row>
    <row r="2002" spans="1:21" ht="40.799999999999997">
      <c r="A2002" s="6">
        <v>43440.942280092597</v>
      </c>
      <c r="B2002" s="7" t="str">
        <f>HYPERLINK("https://twitter.com/mariridrm_","@mariridrm_")</f>
        <v>@mariridrm_</v>
      </c>
      <c r="C2002" s="8" t="s">
        <v>7114</v>
      </c>
      <c r="D2002" s="9" t="s">
        <v>7115</v>
      </c>
      <c r="E2002" s="10" t="str">
        <f>HYPERLINK("https://twitter.com/mariridrm_/status/1070794228723343360","1070794228723343360")</f>
        <v>1070794228723343360</v>
      </c>
      <c r="F2002" s="11"/>
      <c r="G2002" s="11"/>
      <c r="H2002" s="11"/>
      <c r="I2002" s="13">
        <v>0</v>
      </c>
      <c r="J2002" s="13">
        <v>1</v>
      </c>
      <c r="K2002" s="14" t="str">
        <f>HYPERLINK("http://twitter.com/download/iphone","Twitter for iPhone")</f>
        <v>Twitter for iPhone</v>
      </c>
      <c r="L2002" s="13">
        <v>461</v>
      </c>
      <c r="M2002" s="13">
        <v>316</v>
      </c>
      <c r="N2002" s="13">
        <v>0</v>
      </c>
      <c r="O2002" s="15"/>
      <c r="P2002" s="6">
        <v>40572.728275462963</v>
      </c>
      <c r="Q2002" s="11"/>
      <c r="R2002" s="19" t="s">
        <v>7116</v>
      </c>
      <c r="S2002" s="11"/>
      <c r="T2002" s="11"/>
      <c r="U2002" s="10" t="str">
        <f>HYPERLINK("https://pbs.twimg.com/profile_images/1065978218438684672/IvkjXuys.jpg","View")</f>
        <v>View</v>
      </c>
    </row>
    <row r="2003" spans="1:21" ht="20.399999999999999">
      <c r="A2003" s="6">
        <v>43440.942210648151</v>
      </c>
      <c r="B2003" s="7" t="str">
        <f>HYPERLINK("https://twitter.com/danisepa","@danisepa")</f>
        <v>@danisepa</v>
      </c>
      <c r="C2003" s="8" t="s">
        <v>7117</v>
      </c>
      <c r="D2003" s="9" t="s">
        <v>7118</v>
      </c>
      <c r="E2003" s="10" t="str">
        <f>HYPERLINK("https://twitter.com/danisepa/status/1070794204706758656","1070794204706758656")</f>
        <v>1070794204706758656</v>
      </c>
      <c r="F2003" s="11"/>
      <c r="G2003" s="11"/>
      <c r="H2003" s="11"/>
      <c r="I2003" s="13">
        <v>1</v>
      </c>
      <c r="J2003" s="13">
        <v>0</v>
      </c>
      <c r="K2003" s="14" t="str">
        <f>HYPERLINK("http://twitter.com/#!/download/ipad","Twitter for iPad")</f>
        <v>Twitter for iPad</v>
      </c>
      <c r="L2003" s="13">
        <v>417</v>
      </c>
      <c r="M2003" s="13">
        <v>182</v>
      </c>
      <c r="N2003" s="13">
        <v>12</v>
      </c>
      <c r="O2003" s="15"/>
      <c r="P2003" s="6">
        <v>40195.652442129627</v>
      </c>
      <c r="Q2003" s="18" t="s">
        <v>7119</v>
      </c>
      <c r="R2003" s="19" t="s">
        <v>7120</v>
      </c>
      <c r="S2003" s="11"/>
      <c r="T2003" s="11"/>
      <c r="U2003" s="10" t="str">
        <f>HYPERLINK("https://pbs.twimg.com/profile_images/527557653367513088/iD8-7aO0.jpeg","View")</f>
        <v>View</v>
      </c>
    </row>
    <row r="2004" spans="1:21" ht="51">
      <c r="A2004" s="6">
        <v>43440.942071759258</v>
      </c>
      <c r="B2004" s="7" t="str">
        <f>HYPERLINK("https://twitter.com/donleuro","@donleuro")</f>
        <v>@donleuro</v>
      </c>
      <c r="C2004" s="8" t="s">
        <v>7121</v>
      </c>
      <c r="D2004" s="9" t="s">
        <v>7122</v>
      </c>
      <c r="E2004" s="10" t="str">
        <f>HYPERLINK("https://twitter.com/donleuro/status/1070794156119859200","1070794156119859200")</f>
        <v>1070794156119859200</v>
      </c>
      <c r="F2004" s="12" t="s">
        <v>3074</v>
      </c>
      <c r="G2004" s="12" t="s">
        <v>3075</v>
      </c>
      <c r="H2004" s="11"/>
      <c r="I2004" s="13">
        <v>1</v>
      </c>
      <c r="J2004" s="13">
        <v>0</v>
      </c>
      <c r="K2004" s="14" t="str">
        <f>HYPERLINK("http://twitter.com/download/android","Twitter for Android")</f>
        <v>Twitter for Android</v>
      </c>
      <c r="L2004" s="13">
        <v>80</v>
      </c>
      <c r="M2004" s="13">
        <v>115</v>
      </c>
      <c r="N2004" s="13">
        <v>0</v>
      </c>
      <c r="O2004" s="15"/>
      <c r="P2004" s="6">
        <v>42555.424178240741</v>
      </c>
      <c r="Q2004" s="11"/>
      <c r="R2004" s="19" t="s">
        <v>7123</v>
      </c>
      <c r="S2004" s="11"/>
      <c r="T2004" s="11"/>
      <c r="U2004" s="10" t="str">
        <f>HYPERLINK("https://pbs.twimg.com/profile_images/1058757747792060418/mwvrGSPY.jpg","View")</f>
        <v>View</v>
      </c>
    </row>
    <row r="2005" spans="1:21" ht="51">
      <c r="A2005" s="6">
        <v>43440.941759259258</v>
      </c>
      <c r="B2005" s="7" t="str">
        <f>HYPERLINK("https://twitter.com/maonav","@maonav")</f>
        <v>@maonav</v>
      </c>
      <c r="C2005" s="8" t="s">
        <v>3939</v>
      </c>
      <c r="D2005" s="9" t="s">
        <v>3940</v>
      </c>
      <c r="E2005" s="10" t="str">
        <f>HYPERLINK("https://twitter.com/maonav/status/1070794041623760896","1070794041623760896")</f>
        <v>1070794041623760896</v>
      </c>
      <c r="F2005" s="11"/>
      <c r="G2005" s="11"/>
      <c r="H2005" s="11"/>
      <c r="I2005" s="13">
        <v>0</v>
      </c>
      <c r="J2005" s="13">
        <v>0</v>
      </c>
      <c r="K2005" s="14" t="str">
        <f>HYPERLINK("http://twitter.com/download/iphone","Twitter for iPhone")</f>
        <v>Twitter for iPhone</v>
      </c>
      <c r="L2005" s="13">
        <v>53</v>
      </c>
      <c r="M2005" s="13">
        <v>103</v>
      </c>
      <c r="N2005" s="13">
        <v>0</v>
      </c>
      <c r="O2005" s="15"/>
      <c r="P2005" s="6">
        <v>39896.762372685189</v>
      </c>
      <c r="Q2005" s="11"/>
      <c r="R2005" s="19" t="s">
        <v>3943</v>
      </c>
      <c r="S2005" s="11"/>
      <c r="T2005" s="11"/>
      <c r="U2005" s="10" t="str">
        <f>HYPERLINK("https://pbs.twimg.com/profile_images/929337206795374595/dqYBZgOR.jpg","View")</f>
        <v>View</v>
      </c>
    </row>
    <row r="2006" spans="1:21" ht="91.8">
      <c r="A2006" s="6">
        <v>43440.941412037035</v>
      </c>
      <c r="B2006" s="7" t="str">
        <f>HYPERLINK("https://twitter.com/AntonioRoj3","@AntonioRoj3")</f>
        <v>@AntonioRoj3</v>
      </c>
      <c r="C2006" s="8" t="s">
        <v>3944</v>
      </c>
      <c r="D2006" s="9" t="s">
        <v>3946</v>
      </c>
      <c r="E2006" s="10" t="str">
        <f>HYPERLINK("https://twitter.com/AntonioRoj3/status/1070793913856876544","1070793913856876544")</f>
        <v>1070793913856876544</v>
      </c>
      <c r="F2006" s="12" t="s">
        <v>1883</v>
      </c>
      <c r="G2006" s="11"/>
      <c r="H2006" s="11"/>
      <c r="I2006" s="13">
        <v>5</v>
      </c>
      <c r="J2006" s="13">
        <v>4</v>
      </c>
      <c r="K2006" s="14" t="str">
        <f t="shared" ref="K2006:K2007" si="335">HYPERLINK("http://twitter.com/download/android","Twitter for Android")</f>
        <v>Twitter for Android</v>
      </c>
      <c r="L2006" s="13">
        <v>145</v>
      </c>
      <c r="M2006" s="13">
        <v>292</v>
      </c>
      <c r="N2006" s="13">
        <v>0</v>
      </c>
      <c r="O2006" s="15"/>
      <c r="P2006" s="6">
        <v>43391.758622685185</v>
      </c>
      <c r="Q2006" s="18" t="s">
        <v>307</v>
      </c>
      <c r="R2006" s="19" t="s">
        <v>3952</v>
      </c>
      <c r="S2006" s="11"/>
      <c r="T2006" s="11"/>
      <c r="U2006" s="10" t="str">
        <f>HYPERLINK("https://pbs.twimg.com/profile_images/1052960956203114497/0_vgFTGe.jpg","View")</f>
        <v>View</v>
      </c>
    </row>
    <row r="2007" spans="1:21" ht="20.399999999999999">
      <c r="A2007" s="6">
        <v>43440.940775462965</v>
      </c>
      <c r="B2007" s="7" t="str">
        <f>HYPERLINK("https://twitter.com/J7Barrero","@J7Barrero")</f>
        <v>@J7Barrero</v>
      </c>
      <c r="C2007" s="8" t="s">
        <v>7124</v>
      </c>
      <c r="D2007" s="9" t="s">
        <v>7125</v>
      </c>
      <c r="E2007" s="10" t="str">
        <f>HYPERLINK("https://twitter.com/J7Barrero/status/1070793682943655936","1070793682943655936")</f>
        <v>1070793682943655936</v>
      </c>
      <c r="F2007" s="11"/>
      <c r="G2007" s="11"/>
      <c r="H2007" s="11"/>
      <c r="I2007" s="13">
        <v>0</v>
      </c>
      <c r="J2007" s="13">
        <v>0</v>
      </c>
      <c r="K2007" s="14" t="str">
        <f t="shared" si="335"/>
        <v>Twitter for Android</v>
      </c>
      <c r="L2007" s="13">
        <v>1407</v>
      </c>
      <c r="M2007" s="13">
        <v>2824</v>
      </c>
      <c r="N2007" s="13">
        <v>27</v>
      </c>
      <c r="O2007" s="15"/>
      <c r="P2007" s="6">
        <v>40389.514131944445</v>
      </c>
      <c r="Q2007" s="18" t="s">
        <v>7126</v>
      </c>
      <c r="R2007" s="19" t="s">
        <v>7127</v>
      </c>
      <c r="S2007" s="12" t="s">
        <v>7128</v>
      </c>
      <c r="T2007" s="11"/>
      <c r="U2007" s="10" t="str">
        <f>HYPERLINK("https://pbs.twimg.com/profile_images/1049766135523147782/npJpP-Fv.jpg","View")</f>
        <v>View</v>
      </c>
    </row>
    <row r="2008" spans="1:21" ht="40.799999999999997">
      <c r="A2008" s="6">
        <v>43440.94</v>
      </c>
      <c r="B2008" s="7" t="str">
        <f>HYPERLINK("https://twitter.com/PlazaPodemos","@PlazaPodemos")</f>
        <v>@PlazaPodemos</v>
      </c>
      <c r="C2008" s="8" t="s">
        <v>7129</v>
      </c>
      <c r="D2008" s="9" t="s">
        <v>7130</v>
      </c>
      <c r="E2008" s="10" t="str">
        <f>HYPERLINK("https://twitter.com/PlazaPodemos/status/1070793405477793792","1070793405477793792")</f>
        <v>1070793405477793792</v>
      </c>
      <c r="F2008" s="12" t="s">
        <v>7131</v>
      </c>
      <c r="G2008" s="12" t="s">
        <v>7132</v>
      </c>
      <c r="H2008" s="11"/>
      <c r="I2008" s="13">
        <v>1</v>
      </c>
      <c r="J2008" s="13">
        <v>3</v>
      </c>
      <c r="K2008" s="14" t="str">
        <f>HYPERLINK("https://dlvrit.com/","dlvr.it")</f>
        <v>dlvr.it</v>
      </c>
      <c r="L2008" s="13">
        <v>8568</v>
      </c>
      <c r="M2008" s="13">
        <v>787</v>
      </c>
      <c r="N2008" s="13">
        <v>114</v>
      </c>
      <c r="O2008" s="15"/>
      <c r="P2008" s="6">
        <v>41844.620671296296</v>
      </c>
      <c r="Q2008" s="11"/>
      <c r="R2008" s="19" t="s">
        <v>7133</v>
      </c>
      <c r="S2008" s="12" t="s">
        <v>7134</v>
      </c>
      <c r="T2008" s="11"/>
      <c r="U2008" s="10" t="str">
        <f>HYPERLINK("https://pbs.twimg.com/profile_images/809422028625346560/BFJc_1PV.jpg","View")</f>
        <v>View</v>
      </c>
    </row>
    <row r="2009" spans="1:21" ht="51">
      <c r="A2009" s="6">
        <v>43440.939965277779</v>
      </c>
      <c r="B2009" s="7" t="str">
        <f>HYPERLINK("https://twitter.com/telepozzas","@telepozzas")</f>
        <v>@telepozzas</v>
      </c>
      <c r="C2009" s="8" t="s">
        <v>7135</v>
      </c>
      <c r="D2009" s="9" t="s">
        <v>7136</v>
      </c>
      <c r="E2009" s="10" t="str">
        <f>HYPERLINK("https://twitter.com/telepozzas/status/1070793393066909697","1070793393066909697")</f>
        <v>1070793393066909697</v>
      </c>
      <c r="F2009" s="11"/>
      <c r="G2009" s="12" t="s">
        <v>7137</v>
      </c>
      <c r="H2009" s="11"/>
      <c r="I2009" s="13">
        <v>1</v>
      </c>
      <c r="J2009" s="13">
        <v>0</v>
      </c>
      <c r="K2009" s="14" t="str">
        <f>HYPERLINK("http://twitter.com/download/android","Twitter for Android")</f>
        <v>Twitter for Android</v>
      </c>
      <c r="L2009" s="13">
        <v>3930</v>
      </c>
      <c r="M2009" s="13">
        <v>3440</v>
      </c>
      <c r="N2009" s="13">
        <v>43</v>
      </c>
      <c r="O2009" s="15"/>
      <c r="P2009" s="6">
        <v>42094.812476851846</v>
      </c>
      <c r="Q2009" s="18" t="s">
        <v>7138</v>
      </c>
      <c r="R2009" s="19" t="s">
        <v>7139</v>
      </c>
      <c r="S2009" s="11"/>
      <c r="T2009" s="11"/>
      <c r="U2009" s="10" t="str">
        <f>HYPERLINK("https://pbs.twimg.com/profile_images/997747979955060737/BXpH_U-T.jpg","View")</f>
        <v>View</v>
      </c>
    </row>
    <row r="2010" spans="1:21" ht="51">
      <c r="A2010" s="6">
        <v>43440.939340277779</v>
      </c>
      <c r="B2010" s="7" t="str">
        <f>HYPERLINK("https://twitter.com/DavilitoVerde","@DavilitoVerde")</f>
        <v>@DavilitoVerde</v>
      </c>
      <c r="C2010" s="8" t="s">
        <v>5988</v>
      </c>
      <c r="D2010" s="9" t="s">
        <v>7140</v>
      </c>
      <c r="E2010" s="10" t="str">
        <f>HYPERLINK("https://twitter.com/DavilitoVerde/status/1070793165567873024","1070793165567873024")</f>
        <v>1070793165567873024</v>
      </c>
      <c r="F2010" s="11"/>
      <c r="G2010" s="11"/>
      <c r="H2010" s="11"/>
      <c r="I2010" s="13">
        <v>1</v>
      </c>
      <c r="J2010" s="13">
        <v>2</v>
      </c>
      <c r="K2010" s="14" t="str">
        <f>HYPERLINK("http://twitter.com","Twitter Web Client")</f>
        <v>Twitter Web Client</v>
      </c>
      <c r="L2010" s="13">
        <v>46</v>
      </c>
      <c r="M2010" s="13">
        <v>85</v>
      </c>
      <c r="N2010" s="13">
        <v>0</v>
      </c>
      <c r="O2010" s="15"/>
      <c r="P2010" s="6">
        <v>43439.005185185189</v>
      </c>
      <c r="Q2010" s="18" t="s">
        <v>256</v>
      </c>
      <c r="R2010" s="19" t="s">
        <v>5990</v>
      </c>
      <c r="S2010" s="11"/>
      <c r="T2010" s="11"/>
      <c r="U2010" s="10" t="str">
        <f>HYPERLINK("https://pbs.twimg.com/profile_images/1070693349819064321/VxSrkJ4x.jpg","View")</f>
        <v>View</v>
      </c>
    </row>
    <row r="2011" spans="1:21" ht="30.6">
      <c r="A2011" s="6">
        <v>43440.939155092594</v>
      </c>
      <c r="B2011" s="7" t="str">
        <f>HYPERLINK("https://twitter.com/Spanier15","@Spanier15")</f>
        <v>@Spanier15</v>
      </c>
      <c r="C2011" s="8" t="s">
        <v>7141</v>
      </c>
      <c r="D2011" s="9" t="s">
        <v>2014</v>
      </c>
      <c r="E2011" s="10" t="str">
        <f>HYPERLINK("https://twitter.com/Spanier15/status/1070793099390173185","1070793099390173185")</f>
        <v>1070793099390173185</v>
      </c>
      <c r="F2011" s="12" t="s">
        <v>2017</v>
      </c>
      <c r="G2011" s="11"/>
      <c r="H2011" s="11"/>
      <c r="I2011" s="13">
        <v>0</v>
      </c>
      <c r="J2011" s="13">
        <v>0</v>
      </c>
      <c r="K2011" s="14" t="str">
        <f>HYPERLINK("http://twitter.com/#!/download/ipad","Twitter for iPad")</f>
        <v>Twitter for iPad</v>
      </c>
      <c r="L2011" s="13">
        <v>4</v>
      </c>
      <c r="M2011" s="13">
        <v>35</v>
      </c>
      <c r="N2011" s="13">
        <v>0</v>
      </c>
      <c r="O2011" s="15"/>
      <c r="P2011" s="6">
        <v>42363.560104166667</v>
      </c>
      <c r="Q2011" s="11"/>
      <c r="R2011" s="17"/>
      <c r="S2011" s="11"/>
      <c r="T2011" s="11"/>
      <c r="U2011" s="16" t="s">
        <v>191</v>
      </c>
    </row>
    <row r="2012" spans="1:21" ht="30.6">
      <c r="A2012" s="6">
        <v>43440.938252314816</v>
      </c>
      <c r="B2012" s="7" t="str">
        <f>HYPERLINK("https://twitter.com/Joseluis_Cuevas","@Joseluis_Cuevas")</f>
        <v>@Joseluis_Cuevas</v>
      </c>
      <c r="C2012" s="8" t="s">
        <v>7142</v>
      </c>
      <c r="D2012" s="9" t="s">
        <v>7143</v>
      </c>
      <c r="E2012" s="10" t="str">
        <f>HYPERLINK("https://twitter.com/Joseluis_Cuevas/status/1070792769873022976","1070792769873022976")</f>
        <v>1070792769873022976</v>
      </c>
      <c r="F2012" s="11"/>
      <c r="G2012" s="12" t="s">
        <v>7144</v>
      </c>
      <c r="H2012" s="11"/>
      <c r="I2012" s="13">
        <v>0</v>
      </c>
      <c r="J2012" s="13">
        <v>0</v>
      </c>
      <c r="K2012" s="14" t="str">
        <f t="shared" ref="K2012:K2013" si="336">HYPERLINK("http://twitter.com/download/iphone","Twitter for iPhone")</f>
        <v>Twitter for iPhone</v>
      </c>
      <c r="L2012" s="13">
        <v>418</v>
      </c>
      <c r="M2012" s="13">
        <v>1288</v>
      </c>
      <c r="N2012" s="13">
        <v>19</v>
      </c>
      <c r="O2012" s="15"/>
      <c r="P2012" s="6">
        <v>40464.780763888892</v>
      </c>
      <c r="Q2012" s="18" t="s">
        <v>2303</v>
      </c>
      <c r="R2012" s="19" t="s">
        <v>7145</v>
      </c>
      <c r="S2012" s="11"/>
      <c r="T2012" s="11"/>
      <c r="U2012" s="10" t="str">
        <f>HYPERLINK("https://pbs.twimg.com/profile_images/927671211638841344/RZARmwHf.jpg","View")</f>
        <v>View</v>
      </c>
    </row>
    <row r="2013" spans="1:21" ht="51">
      <c r="A2013" s="6">
        <v>43440.938020833331</v>
      </c>
      <c r="B2013" s="7" t="str">
        <f>HYPERLINK("https://twitter.com/maonav","@maonav")</f>
        <v>@maonav</v>
      </c>
      <c r="C2013" s="8" t="s">
        <v>3939</v>
      </c>
      <c r="D2013" s="9" t="s">
        <v>3953</v>
      </c>
      <c r="E2013" s="10" t="str">
        <f>HYPERLINK("https://twitter.com/maonav/status/1070792688184803328","1070792688184803328")</f>
        <v>1070792688184803328</v>
      </c>
      <c r="F2013" s="11"/>
      <c r="G2013" s="12" t="s">
        <v>3954</v>
      </c>
      <c r="H2013" s="11"/>
      <c r="I2013" s="13">
        <v>0</v>
      </c>
      <c r="J2013" s="13">
        <v>0</v>
      </c>
      <c r="K2013" s="14" t="str">
        <f t="shared" si="336"/>
        <v>Twitter for iPhone</v>
      </c>
      <c r="L2013" s="13">
        <v>53</v>
      </c>
      <c r="M2013" s="13">
        <v>103</v>
      </c>
      <c r="N2013" s="13">
        <v>0</v>
      </c>
      <c r="O2013" s="15"/>
      <c r="P2013" s="6">
        <v>39896.762372685189</v>
      </c>
      <c r="Q2013" s="11"/>
      <c r="R2013" s="19" t="s">
        <v>3943</v>
      </c>
      <c r="S2013" s="11"/>
      <c r="T2013" s="11"/>
      <c r="U2013" s="10" t="str">
        <f>HYPERLINK("https://pbs.twimg.com/profile_images/929337206795374595/dqYBZgOR.jpg","View")</f>
        <v>View</v>
      </c>
    </row>
    <row r="2014" spans="1:21" ht="30.6">
      <c r="A2014" s="6">
        <v>43440.9378587963</v>
      </c>
      <c r="B2014" s="7" t="str">
        <f>HYPERLINK("https://twitter.com/CofranFrancis","@CofranFrancis")</f>
        <v>@CofranFrancis</v>
      </c>
      <c r="C2014" s="8" t="s">
        <v>433</v>
      </c>
      <c r="D2014" s="9" t="s">
        <v>6663</v>
      </c>
      <c r="E2014" s="10" t="str">
        <f>HYPERLINK("https://twitter.com/CofranFrancis/status/1070792629196111872","1070792629196111872")</f>
        <v>1070792629196111872</v>
      </c>
      <c r="F2014" s="12" t="s">
        <v>6664</v>
      </c>
      <c r="G2014" s="11"/>
      <c r="H2014" s="11"/>
      <c r="I2014" s="13">
        <v>0</v>
      </c>
      <c r="J2014" s="13">
        <v>0</v>
      </c>
      <c r="K2014" s="14" t="str">
        <f>HYPERLINK("http://twitter.com","Twitter Web Client")</f>
        <v>Twitter Web Client</v>
      </c>
      <c r="L2014" s="13">
        <v>31</v>
      </c>
      <c r="M2014" s="13">
        <v>111</v>
      </c>
      <c r="N2014" s="13">
        <v>1</v>
      </c>
      <c r="O2014" s="15"/>
      <c r="P2014" s="6">
        <v>43192.507164351853</v>
      </c>
      <c r="Q2014" s="18" t="s">
        <v>436</v>
      </c>
      <c r="R2014" s="19" t="s">
        <v>437</v>
      </c>
      <c r="S2014" s="11"/>
      <c r="T2014" s="11"/>
      <c r="U2014" s="10" t="str">
        <f>HYPERLINK("https://pbs.twimg.com/profile_images/1061378643325280256/n03DucG4.jpg","View")</f>
        <v>View</v>
      </c>
    </row>
    <row r="2015" spans="1:21" ht="20.399999999999999">
      <c r="A2015" s="6">
        <v>43440.937476851846</v>
      </c>
      <c r="B2015" s="7" t="str">
        <f>HYPERLINK("https://twitter.com/DARA190574","@DARA190574")</f>
        <v>@DARA190574</v>
      </c>
      <c r="C2015" s="8" t="s">
        <v>7146</v>
      </c>
      <c r="D2015" s="9" t="s">
        <v>6481</v>
      </c>
      <c r="E2015" s="10" t="str">
        <f>HYPERLINK("https://twitter.com/DARA190574/status/1070792490763018240","1070792490763018240")</f>
        <v>1070792490763018240</v>
      </c>
      <c r="F2015" s="12" t="s">
        <v>6482</v>
      </c>
      <c r="G2015" s="11"/>
      <c r="H2015" s="11"/>
      <c r="I2015" s="13">
        <v>0</v>
      </c>
      <c r="J2015" s="13">
        <v>0</v>
      </c>
      <c r="K2015" s="14" t="str">
        <f>HYPERLINK("https://www.google.com/","Google")</f>
        <v>Google</v>
      </c>
      <c r="L2015" s="13">
        <v>27</v>
      </c>
      <c r="M2015" s="13">
        <v>23</v>
      </c>
      <c r="N2015" s="13">
        <v>1</v>
      </c>
      <c r="O2015" s="15"/>
      <c r="P2015" s="6">
        <v>40939.768206018518</v>
      </c>
      <c r="Q2015" s="11"/>
      <c r="R2015" s="17"/>
      <c r="S2015" s="11"/>
      <c r="T2015" s="11"/>
      <c r="U2015" s="16" t="s">
        <v>191</v>
      </c>
    </row>
    <row r="2016" spans="1:21" ht="51">
      <c r="A2016" s="6">
        <v>43440.937476851846</v>
      </c>
      <c r="B2016" s="7" t="str">
        <f>HYPERLINK("https://twitter.com/ordubolea","@ordubolea")</f>
        <v>@ordubolea</v>
      </c>
      <c r="C2016" s="8" t="s">
        <v>7147</v>
      </c>
      <c r="D2016" s="9" t="s">
        <v>7148</v>
      </c>
      <c r="E2016" s="10" t="str">
        <f>HYPERLINK("https://twitter.com/ordubolea/status/1070792487583842305","1070792487583842305")</f>
        <v>1070792487583842305</v>
      </c>
      <c r="F2016" s="18" t="s">
        <v>7149</v>
      </c>
      <c r="G2016" s="11"/>
      <c r="H2016" s="11"/>
      <c r="I2016" s="13">
        <v>0</v>
      </c>
      <c r="J2016" s="13">
        <v>0</v>
      </c>
      <c r="K2016" s="14" t="str">
        <f>HYPERLINK("http://twitter.com/#!/download/ipad","Twitter for iPad")</f>
        <v>Twitter for iPad</v>
      </c>
      <c r="L2016" s="13">
        <v>38</v>
      </c>
      <c r="M2016" s="13">
        <v>204</v>
      </c>
      <c r="N2016" s="13">
        <v>1</v>
      </c>
      <c r="O2016" s="15"/>
      <c r="P2016" s="6">
        <v>40777.891608796301</v>
      </c>
      <c r="Q2016" s="18" t="s">
        <v>7150</v>
      </c>
      <c r="R2016" s="17"/>
      <c r="S2016" s="12" t="s">
        <v>7151</v>
      </c>
      <c r="T2016" s="11"/>
      <c r="U2016" s="16" t="s">
        <v>191</v>
      </c>
    </row>
    <row r="2017" spans="1:21" ht="20.399999999999999">
      <c r="A2017" s="6">
        <v>43440.9371875</v>
      </c>
      <c r="B2017" s="7" t="str">
        <f>HYPERLINK("https://twitter.com/robertocases","@robertocases")</f>
        <v>@robertocases</v>
      </c>
      <c r="C2017" s="8" t="s">
        <v>7152</v>
      </c>
      <c r="D2017" s="9" t="s">
        <v>7153</v>
      </c>
      <c r="E2017" s="10" t="str">
        <f>HYPERLINK("https://twitter.com/robertocases/status/1070792385058222080","1070792385058222080")</f>
        <v>1070792385058222080</v>
      </c>
      <c r="F2017" s="11"/>
      <c r="G2017" s="11"/>
      <c r="H2017" s="11"/>
      <c r="I2017" s="13">
        <v>1</v>
      </c>
      <c r="J2017" s="13">
        <v>4</v>
      </c>
      <c r="K2017" s="14" t="str">
        <f>HYPERLINK("http://twitter.com/download/iphone","Twitter for iPhone")</f>
        <v>Twitter for iPhone</v>
      </c>
      <c r="L2017" s="13">
        <v>428</v>
      </c>
      <c r="M2017" s="13">
        <v>125</v>
      </c>
      <c r="N2017" s="13">
        <v>4</v>
      </c>
      <c r="O2017" s="15"/>
      <c r="P2017" s="6">
        <v>40702.541435185187</v>
      </c>
      <c r="Q2017" s="18" t="s">
        <v>7154</v>
      </c>
      <c r="R2017" s="19" t="s">
        <v>7155</v>
      </c>
      <c r="S2017" s="11"/>
      <c r="T2017" s="11"/>
      <c r="U2017" s="10" t="str">
        <f>HYPERLINK("https://pbs.twimg.com/profile_images/1044995384995717120/5_Z05ZKC.jpg","View")</f>
        <v>View</v>
      </c>
    </row>
    <row r="2018" spans="1:21" ht="20.399999999999999">
      <c r="A2018" s="6">
        <v>43440.936759259261</v>
      </c>
      <c r="B2018" s="7" t="str">
        <f>HYPERLINK("https://twitter.com/flagelarte","@flagelarte")</f>
        <v>@flagelarte</v>
      </c>
      <c r="C2018" s="8" t="s">
        <v>7156</v>
      </c>
      <c r="D2018" s="9" t="s">
        <v>7157</v>
      </c>
      <c r="E2018" s="10" t="str">
        <f>HYPERLINK("https://twitter.com/flagelarte/status/1070792229848014849","1070792229848014849")</f>
        <v>1070792229848014849</v>
      </c>
      <c r="F2018" s="12" t="s">
        <v>7158</v>
      </c>
      <c r="G2018" s="11"/>
      <c r="H2018" s="11"/>
      <c r="I2018" s="13">
        <v>1</v>
      </c>
      <c r="J2018" s="13">
        <v>1</v>
      </c>
      <c r="K2018" s="14" t="str">
        <f t="shared" ref="K2018:K2019" si="337">HYPERLINK("http://twitter.com/#!/download/ipad","Twitter for iPad")</f>
        <v>Twitter for iPad</v>
      </c>
      <c r="L2018" s="13">
        <v>482</v>
      </c>
      <c r="M2018" s="13">
        <v>435</v>
      </c>
      <c r="N2018" s="13">
        <v>17</v>
      </c>
      <c r="O2018" s="15"/>
      <c r="P2018" s="6">
        <v>40626.802476851852</v>
      </c>
      <c r="Q2018" s="11"/>
      <c r="R2018" s="19" t="s">
        <v>7159</v>
      </c>
      <c r="S2018" s="11"/>
      <c r="T2018" s="11"/>
      <c r="U2018" s="10" t="str">
        <f>HYPERLINK("https://pbs.twimg.com/profile_images/1070640551354077184/iuWWpN0d.jpg","View")</f>
        <v>View</v>
      </c>
    </row>
    <row r="2019" spans="1:21" ht="81.599999999999994">
      <c r="A2019" s="6">
        <v>43440.934432870374</v>
      </c>
      <c r="B2019" s="7" t="str">
        <f>HYPERLINK("https://twitter.com/vecinodeorden","@vecinodeorden")</f>
        <v>@vecinodeorden</v>
      </c>
      <c r="C2019" s="8" t="s">
        <v>7160</v>
      </c>
      <c r="D2019" s="9" t="s">
        <v>7161</v>
      </c>
      <c r="E2019" s="10" t="str">
        <f>HYPERLINK("https://twitter.com/vecinodeorden/status/1070791385723359238","1070791385723359238")</f>
        <v>1070791385723359238</v>
      </c>
      <c r="F2019" s="12" t="s">
        <v>7162</v>
      </c>
      <c r="G2019" s="12" t="s">
        <v>4631</v>
      </c>
      <c r="H2019" s="11"/>
      <c r="I2019" s="13">
        <v>0</v>
      </c>
      <c r="J2019" s="13">
        <v>0</v>
      </c>
      <c r="K2019" s="14" t="str">
        <f t="shared" si="337"/>
        <v>Twitter for iPad</v>
      </c>
      <c r="L2019" s="13">
        <v>356</v>
      </c>
      <c r="M2019" s="13">
        <v>518</v>
      </c>
      <c r="N2019" s="13">
        <v>11</v>
      </c>
      <c r="O2019" s="15"/>
      <c r="P2019" s="6">
        <v>41893.651273148149</v>
      </c>
      <c r="Q2019" s="18" t="s">
        <v>7163</v>
      </c>
      <c r="R2019" s="19" t="s">
        <v>7164</v>
      </c>
      <c r="S2019" s="11"/>
      <c r="T2019" s="11"/>
      <c r="U2019" s="10" t="str">
        <f>HYPERLINK("https://pbs.twimg.com/profile_images/926037200332099586/KJhWPbYO.jpg","View")</f>
        <v>View</v>
      </c>
    </row>
    <row r="2020" spans="1:21" ht="30.6">
      <c r="A2020" s="6">
        <v>43440.934212962966</v>
      </c>
      <c r="B2020" s="7" t="str">
        <f>HYPERLINK("https://twitter.com/TRUPAL5","@TRUPAL5")</f>
        <v>@TRUPAL5</v>
      </c>
      <c r="C2020" s="8" t="s">
        <v>7165</v>
      </c>
      <c r="D2020" s="9" t="s">
        <v>7166</v>
      </c>
      <c r="E2020" s="10" t="str">
        <f>HYPERLINK("https://twitter.com/TRUPAL5/status/1070791307541524481","1070791307541524481")</f>
        <v>1070791307541524481</v>
      </c>
      <c r="F2020" s="11"/>
      <c r="G2020" s="11"/>
      <c r="H2020" s="11"/>
      <c r="I2020" s="13">
        <v>0</v>
      </c>
      <c r="J2020" s="13">
        <v>0</v>
      </c>
      <c r="K2020" s="14" t="str">
        <f t="shared" ref="K2020:K2021" si="338">HYPERLINK("http://twitter.com/download/android","Twitter for Android")</f>
        <v>Twitter for Android</v>
      </c>
      <c r="L2020" s="13">
        <v>3</v>
      </c>
      <c r="M2020" s="13">
        <v>19</v>
      </c>
      <c r="N2020" s="13">
        <v>0</v>
      </c>
      <c r="O2020" s="15"/>
      <c r="P2020" s="6">
        <v>41895.779120370367</v>
      </c>
      <c r="Q2020" s="18" t="s">
        <v>7167</v>
      </c>
      <c r="R2020" s="19" t="s">
        <v>7168</v>
      </c>
      <c r="S2020" s="11"/>
      <c r="T2020" s="11"/>
      <c r="U2020" s="16" t="s">
        <v>191</v>
      </c>
    </row>
    <row r="2021" spans="1:21" ht="51">
      <c r="A2021" s="6">
        <v>43440.934097222227</v>
      </c>
      <c r="B2021" s="7" t="str">
        <f>HYPERLINK("https://twitter.com/Gata1_C","@Gata1_C")</f>
        <v>@Gata1_C</v>
      </c>
      <c r="C2021" s="8" t="s">
        <v>3958</v>
      </c>
      <c r="D2021" s="9" t="s">
        <v>3960</v>
      </c>
      <c r="E2021" s="10" t="str">
        <f>HYPERLINK("https://twitter.com/Gata1_C/status/1070791263534878727","1070791263534878727")</f>
        <v>1070791263534878727</v>
      </c>
      <c r="F2021" s="11"/>
      <c r="G2021" s="12" t="s">
        <v>3786</v>
      </c>
      <c r="H2021" s="11"/>
      <c r="I2021" s="13">
        <v>624</v>
      </c>
      <c r="J2021" s="13">
        <v>706</v>
      </c>
      <c r="K2021" s="14" t="str">
        <f t="shared" si="338"/>
        <v>Twitter for Android</v>
      </c>
      <c r="L2021" s="13">
        <v>3876</v>
      </c>
      <c r="M2021" s="13">
        <v>5000</v>
      </c>
      <c r="N2021" s="13">
        <v>8</v>
      </c>
      <c r="O2021" s="15"/>
      <c r="P2021" s="6">
        <v>41393.042939814812</v>
      </c>
      <c r="Q2021" s="18" t="s">
        <v>42</v>
      </c>
      <c r="R2021" s="19" t="s">
        <v>3961</v>
      </c>
      <c r="S2021" s="11"/>
      <c r="T2021" s="11"/>
      <c r="U2021" s="10" t="str">
        <f>HYPERLINK("https://pbs.twimg.com/profile_images/1064357848287715333/GYr5W4W2.jpg","View")</f>
        <v>View</v>
      </c>
    </row>
    <row r="2022" spans="1:21" ht="51">
      <c r="A2022" s="6">
        <v>43440.933587962965</v>
      </c>
      <c r="B2022" s="7" t="str">
        <f>HYPERLINK("https://twitter.com/PoderContra","@PoderContra")</f>
        <v>@PoderContra</v>
      </c>
      <c r="C2022" s="8" t="s">
        <v>7169</v>
      </c>
      <c r="D2022" s="9" t="s">
        <v>7170</v>
      </c>
      <c r="E2022" s="10" t="str">
        <f>HYPERLINK("https://twitter.com/PoderContra/status/1070791080533221376","1070791080533221376")</f>
        <v>1070791080533221376</v>
      </c>
      <c r="F2022" s="11"/>
      <c r="G2022" s="11"/>
      <c r="H2022" s="11"/>
      <c r="I2022" s="13">
        <v>0</v>
      </c>
      <c r="J2022" s="13">
        <v>2</v>
      </c>
      <c r="K2022" s="14" t="str">
        <f>HYPERLINK("http://twitter.com","Twitter Web Client")</f>
        <v>Twitter Web Client</v>
      </c>
      <c r="L2022" s="13">
        <v>1111</v>
      </c>
      <c r="M2022" s="13">
        <v>1673</v>
      </c>
      <c r="N2022" s="13">
        <v>0</v>
      </c>
      <c r="O2022" s="15"/>
      <c r="P2022" s="6">
        <v>43331.769074074073</v>
      </c>
      <c r="Q2022" s="18" t="s">
        <v>7171</v>
      </c>
      <c r="R2022" s="19" t="s">
        <v>7172</v>
      </c>
      <c r="S2022" s="11"/>
      <c r="T2022" s="11"/>
      <c r="U2022" s="10" t="str">
        <f>HYPERLINK("https://pbs.twimg.com/profile_images/1031217517736419329/ueWoRCcX.jpg","View")</f>
        <v>View</v>
      </c>
    </row>
    <row r="2023" spans="1:21" ht="40.799999999999997">
      <c r="A2023" s="6">
        <v>43440.93340277778</v>
      </c>
      <c r="B2023" s="7" t="str">
        <f>HYPERLINK("https://twitter.com/MiguelGranada30","@MiguelGranada30")</f>
        <v>@MiguelGranada30</v>
      </c>
      <c r="C2023" s="8" t="s">
        <v>1233</v>
      </c>
      <c r="D2023" s="9" t="s">
        <v>3964</v>
      </c>
      <c r="E2023" s="10" t="str">
        <f>HYPERLINK("https://twitter.com/MiguelGranada30/status/1070791011675328513","1070791011675328513")</f>
        <v>1070791011675328513</v>
      </c>
      <c r="F2023" s="11"/>
      <c r="G2023" s="18" t="s">
        <v>3966</v>
      </c>
      <c r="H2023" s="11"/>
      <c r="I2023" s="13">
        <v>8</v>
      </c>
      <c r="J2023" s="13">
        <v>10</v>
      </c>
      <c r="K2023" s="14" t="str">
        <f>HYPERLINK("http://twitter.com/download/android","Twitter for Android")</f>
        <v>Twitter for Android</v>
      </c>
      <c r="L2023" s="13">
        <v>248</v>
      </c>
      <c r="M2023" s="13">
        <v>168</v>
      </c>
      <c r="N2023" s="13">
        <v>8</v>
      </c>
      <c r="O2023" s="15"/>
      <c r="P2023" s="6">
        <v>40462.02584490741</v>
      </c>
      <c r="Q2023" s="18" t="s">
        <v>1237</v>
      </c>
      <c r="R2023" s="19" t="s">
        <v>1238</v>
      </c>
      <c r="S2023" s="11"/>
      <c r="T2023" s="11"/>
      <c r="U2023" s="10" t="str">
        <f>HYPERLINK("https://pbs.twimg.com/profile_images/989115417888198656/KiKHZxWR.jpg","View")</f>
        <v>View</v>
      </c>
    </row>
    <row r="2024" spans="1:21" ht="20.399999999999999">
      <c r="A2024" s="6">
        <v>43440.933321759258</v>
      </c>
      <c r="B2024" s="7" t="str">
        <f>HYPERLINK("https://twitter.com/sumariumcom","@sumariumcom")</f>
        <v>@sumariumcom</v>
      </c>
      <c r="C2024" s="8" t="s">
        <v>4153</v>
      </c>
      <c r="D2024" s="9" t="s">
        <v>6696</v>
      </c>
      <c r="E2024" s="10" t="str">
        <f>HYPERLINK("https://twitter.com/sumariumcom/status/1070790984987000834","1070790984987000834")</f>
        <v>1070790984987000834</v>
      </c>
      <c r="F2024" s="12" t="s">
        <v>7173</v>
      </c>
      <c r="G2024" s="12" t="s">
        <v>6698</v>
      </c>
      <c r="H2024" s="11"/>
      <c r="I2024" s="13">
        <v>0</v>
      </c>
      <c r="J2024" s="13">
        <v>0</v>
      </c>
      <c r="K2024" s="14" t="str">
        <f>HYPERLINK("https://about.twitter.com/products/tweetdeck","TweetDeck")</f>
        <v>TweetDeck</v>
      </c>
      <c r="L2024" s="13">
        <v>164401</v>
      </c>
      <c r="M2024" s="13">
        <v>996</v>
      </c>
      <c r="N2024" s="13">
        <v>1122</v>
      </c>
      <c r="O2024" s="15"/>
      <c r="P2024" s="6">
        <v>40977.809594907405</v>
      </c>
      <c r="Q2024" s="18" t="s">
        <v>4159</v>
      </c>
      <c r="R2024" s="17"/>
      <c r="S2024" s="12" t="s">
        <v>4160</v>
      </c>
      <c r="T2024" s="11"/>
      <c r="U2024" s="10" t="str">
        <f>HYPERLINK("https://pbs.twimg.com/profile_images/1061987847874469888/mok5IDTt.jpg","View")</f>
        <v>View</v>
      </c>
    </row>
    <row r="2025" spans="1:21" ht="30.6">
      <c r="A2025" s="6">
        <v>43440.933298611111</v>
      </c>
      <c r="B2025" s="7" t="str">
        <f>HYPERLINK("https://twitter.com/BlSastre","@BlSastre")</f>
        <v>@BlSastre</v>
      </c>
      <c r="C2025" s="8" t="s">
        <v>1396</v>
      </c>
      <c r="D2025" s="9" t="s">
        <v>3967</v>
      </c>
      <c r="E2025" s="10" t="str">
        <f>HYPERLINK("https://twitter.com/BlSastre/status/1070790973616218117","1070790973616218117")</f>
        <v>1070790973616218117</v>
      </c>
      <c r="F2025" s="12" t="s">
        <v>3968</v>
      </c>
      <c r="G2025" s="12" t="s">
        <v>3969</v>
      </c>
      <c r="H2025" s="11"/>
      <c r="I2025" s="13">
        <v>0</v>
      </c>
      <c r="J2025" s="13">
        <v>0</v>
      </c>
      <c r="K2025" s="14" t="str">
        <f>HYPERLINK("http://twitter.com/download/iphone","Twitter for iPhone")</f>
        <v>Twitter for iPhone</v>
      </c>
      <c r="L2025" s="13">
        <v>529</v>
      </c>
      <c r="M2025" s="13">
        <v>776</v>
      </c>
      <c r="N2025" s="13">
        <v>1</v>
      </c>
      <c r="O2025" s="15"/>
      <c r="P2025" s="6">
        <v>41468.872118055559</v>
      </c>
      <c r="Q2025" s="11"/>
      <c r="R2025" s="19" t="s">
        <v>1400</v>
      </c>
      <c r="S2025" s="11"/>
      <c r="T2025" s="11"/>
      <c r="U2025" s="10" t="str">
        <f>HYPERLINK("https://pbs.twimg.com/profile_images/982329910537736192/Kkb1Mcx4.jpg","View")</f>
        <v>View</v>
      </c>
    </row>
    <row r="2026" spans="1:21" ht="40.799999999999997">
      <c r="A2026" s="6">
        <v>43440.93304398148</v>
      </c>
      <c r="B2026" s="7" t="str">
        <f>HYPERLINK("https://twitter.com/yeipijotape","@yeipijotape")</f>
        <v>@yeipijotape</v>
      </c>
      <c r="C2026" s="8" t="s">
        <v>7174</v>
      </c>
      <c r="D2026" s="9" t="s">
        <v>5373</v>
      </c>
      <c r="E2026" s="10" t="str">
        <f>HYPERLINK("https://twitter.com/yeipijotape/status/1070790882847350786","1070790882847350786")</f>
        <v>1070790882847350786</v>
      </c>
      <c r="F2026" s="12" t="s">
        <v>1512</v>
      </c>
      <c r="G2026" s="11"/>
      <c r="H2026" s="11"/>
      <c r="I2026" s="13">
        <v>0</v>
      </c>
      <c r="J2026" s="13">
        <v>0</v>
      </c>
      <c r="K2026" s="14" t="str">
        <f t="shared" ref="K2026:K2027" si="339">HYPERLINK("http://twitter.com","Twitter Web Client")</f>
        <v>Twitter Web Client</v>
      </c>
      <c r="L2026" s="13">
        <v>1059</v>
      </c>
      <c r="M2026" s="13">
        <v>2593</v>
      </c>
      <c r="N2026" s="13">
        <v>48</v>
      </c>
      <c r="O2026" s="15"/>
      <c r="P2026" s="6">
        <v>40127.761157407411</v>
      </c>
      <c r="Q2026" s="11"/>
      <c r="R2026" s="19" t="s">
        <v>7175</v>
      </c>
      <c r="S2026" s="11"/>
      <c r="T2026" s="11"/>
      <c r="U2026" s="10" t="str">
        <f>HYPERLINK("https://pbs.twimg.com/profile_images/1049120285754970112/iDE96LE7.jpg","View")</f>
        <v>View</v>
      </c>
    </row>
    <row r="2027" spans="1:21" ht="20.399999999999999">
      <c r="A2027" s="6">
        <v>43440.932673611111</v>
      </c>
      <c r="B2027" s="7" t="str">
        <f>HYPERLINK("https://twitter.com/RobertoInguanzo","@RobertoInguanzo")</f>
        <v>@RobertoInguanzo</v>
      </c>
      <c r="C2027" s="8" t="s">
        <v>7176</v>
      </c>
      <c r="D2027" s="9" t="s">
        <v>7177</v>
      </c>
      <c r="E2027" s="10" t="str">
        <f>HYPERLINK("https://twitter.com/RobertoInguanzo/status/1070790747392278529","1070790747392278529")</f>
        <v>1070790747392278529</v>
      </c>
      <c r="F2027" s="11"/>
      <c r="G2027" s="11"/>
      <c r="H2027" s="11"/>
      <c r="I2027" s="13">
        <v>0</v>
      </c>
      <c r="J2027" s="13">
        <v>0</v>
      </c>
      <c r="K2027" s="14" t="str">
        <f t="shared" si="339"/>
        <v>Twitter Web Client</v>
      </c>
      <c r="L2027" s="13">
        <v>73</v>
      </c>
      <c r="M2027" s="13">
        <v>544</v>
      </c>
      <c r="N2027" s="13">
        <v>0</v>
      </c>
      <c r="O2027" s="15"/>
      <c r="P2027" s="6">
        <v>42576.988298611112</v>
      </c>
      <c r="Q2027" s="18" t="s">
        <v>7178</v>
      </c>
      <c r="R2027" s="19" t="s">
        <v>7179</v>
      </c>
      <c r="S2027" s="11"/>
      <c r="T2027" s="11"/>
      <c r="U2027" s="10" t="str">
        <f>HYPERLINK("https://pbs.twimg.com/profile_images/1046793113786826752/-SjLQibu.jpg","View")</f>
        <v>View</v>
      </c>
    </row>
    <row r="2028" spans="1:21" ht="51">
      <c r="A2028" s="6">
        <v>43440.93167824074</v>
      </c>
      <c r="B2028" s="7" t="str">
        <f>HYPERLINK("https://twitter.com/WarPig0_0","@WarPig0_0")</f>
        <v>@WarPig0_0</v>
      </c>
      <c r="C2028" s="8" t="s">
        <v>3970</v>
      </c>
      <c r="D2028" s="9" t="s">
        <v>3971</v>
      </c>
      <c r="E2028" s="10" t="str">
        <f>HYPERLINK("https://twitter.com/WarPig0_0/status/1070790387663560705","1070790387663560705")</f>
        <v>1070790387663560705</v>
      </c>
      <c r="F2028" s="11"/>
      <c r="G2028" s="11"/>
      <c r="H2028" s="11"/>
      <c r="I2028" s="13">
        <v>0</v>
      </c>
      <c r="J2028" s="13">
        <v>0</v>
      </c>
      <c r="K2028" s="14" t="str">
        <f>HYPERLINK("http://twitter.com/download/android","Twitter for Android")</f>
        <v>Twitter for Android</v>
      </c>
      <c r="L2028" s="13">
        <v>34</v>
      </c>
      <c r="M2028" s="13">
        <v>90</v>
      </c>
      <c r="N2028" s="13">
        <v>0</v>
      </c>
      <c r="O2028" s="15"/>
      <c r="P2028" s="6">
        <v>43037.600601851853</v>
      </c>
      <c r="Q2028" s="18" t="s">
        <v>3975</v>
      </c>
      <c r="R2028" s="19" t="s">
        <v>3976</v>
      </c>
      <c r="S2028" s="11"/>
      <c r="T2028" s="11"/>
      <c r="U2028" s="10" t="str">
        <f>HYPERLINK("https://pbs.twimg.com/profile_images/924634833313320961/4-GEAumx.jpg","View")</f>
        <v>View</v>
      </c>
    </row>
    <row r="2029" spans="1:21" ht="40.799999999999997">
      <c r="A2029" s="6">
        <v>43440.931203703702</v>
      </c>
      <c r="B2029" s="7" t="str">
        <f>HYPERLINK("https://twitter.com/migupelo2","@migupelo2")</f>
        <v>@migupelo2</v>
      </c>
      <c r="C2029" s="8" t="s">
        <v>1976</v>
      </c>
      <c r="D2029" s="9" t="s">
        <v>3978</v>
      </c>
      <c r="E2029" s="10" t="str">
        <f>HYPERLINK("https://twitter.com/migupelo2/status/1070790214719819776","1070790214719819776")</f>
        <v>1070790214719819776</v>
      </c>
      <c r="F2029" s="12" t="s">
        <v>3979</v>
      </c>
      <c r="G2029" s="11"/>
      <c r="H2029" s="11"/>
      <c r="I2029" s="13">
        <v>0</v>
      </c>
      <c r="J2029" s="13">
        <v>0</v>
      </c>
      <c r="K2029" s="14" t="str">
        <f t="shared" ref="K2029:K2030" si="340">HYPERLINK("http://twitter.com","Twitter Web Client")</f>
        <v>Twitter Web Client</v>
      </c>
      <c r="L2029" s="13">
        <v>266</v>
      </c>
      <c r="M2029" s="13">
        <v>771</v>
      </c>
      <c r="N2029" s="13">
        <v>18</v>
      </c>
      <c r="O2029" s="15"/>
      <c r="P2029" s="6">
        <v>40477.868043981478</v>
      </c>
      <c r="Q2029" s="11"/>
      <c r="R2029" s="19" t="s">
        <v>1980</v>
      </c>
      <c r="S2029" s="11"/>
      <c r="T2029" s="11"/>
      <c r="U2029" s="10" t="str">
        <f>HYPERLINK("https://pbs.twimg.com/profile_images/2906316440/4ed1570f50fd6f70f1b28d458997dd81.jpeg","View")</f>
        <v>View</v>
      </c>
    </row>
    <row r="2030" spans="1:21" ht="71.400000000000006">
      <c r="A2030" s="6">
        <v>43440.930625000001</v>
      </c>
      <c r="B2030" s="7" t="str">
        <f>HYPERLINK("https://twitter.com/MariaDeJesusCG1","@MariaDeJesusCG1")</f>
        <v>@MariaDeJesusCG1</v>
      </c>
      <c r="C2030" s="8" t="s">
        <v>3983</v>
      </c>
      <c r="D2030" s="9" t="s">
        <v>3984</v>
      </c>
      <c r="E2030" s="10" t="str">
        <f>HYPERLINK("https://twitter.com/MariaDeJesusCG1/status/1070790008041172992","1070790008041172992")</f>
        <v>1070790008041172992</v>
      </c>
      <c r="F2030" s="18" t="s">
        <v>3079</v>
      </c>
      <c r="G2030" s="11"/>
      <c r="H2030" s="11"/>
      <c r="I2030" s="13">
        <v>1</v>
      </c>
      <c r="J2030" s="13">
        <v>0</v>
      </c>
      <c r="K2030" s="14" t="str">
        <f t="shared" si="340"/>
        <v>Twitter Web Client</v>
      </c>
      <c r="L2030" s="13">
        <v>5202</v>
      </c>
      <c r="M2030" s="13">
        <v>4940</v>
      </c>
      <c r="N2030" s="13">
        <v>55</v>
      </c>
      <c r="O2030" s="15"/>
      <c r="P2030" s="6">
        <v>41354.774907407409</v>
      </c>
      <c r="Q2030" s="18" t="s">
        <v>204</v>
      </c>
      <c r="R2030" s="19" t="s">
        <v>3986</v>
      </c>
      <c r="S2030" s="11"/>
      <c r="T2030" s="11"/>
      <c r="U2030" s="10" t="str">
        <f>HYPERLINK("https://pbs.twimg.com/profile_images/960227596494671872/3hEg6zQY.jpg","View")</f>
        <v>View</v>
      </c>
    </row>
    <row r="2031" spans="1:21" ht="20.399999999999999">
      <c r="A2031" s="6">
        <v>43440.930509259255</v>
      </c>
      <c r="B2031" s="7" t="str">
        <f>HYPERLINK("https://twitter.com/DonVito_Padrino","@DonVito_Padrino")</f>
        <v>@DonVito_Padrino</v>
      </c>
      <c r="C2031" s="8" t="s">
        <v>7180</v>
      </c>
      <c r="D2031" s="9" t="s">
        <v>7181</v>
      </c>
      <c r="E2031" s="10" t="str">
        <f>HYPERLINK("https://twitter.com/DonVito_Padrino/status/1070789963183243264","1070789963183243264")</f>
        <v>1070789963183243264</v>
      </c>
      <c r="F2031" s="12" t="s">
        <v>7182</v>
      </c>
      <c r="G2031" s="11"/>
      <c r="H2031" s="11"/>
      <c r="I2031" s="13">
        <v>0</v>
      </c>
      <c r="J2031" s="13">
        <v>0</v>
      </c>
      <c r="K2031" s="14" t="str">
        <f>HYPERLINK("http://twitter.com/download/iphone","Twitter for iPhone")</f>
        <v>Twitter for iPhone</v>
      </c>
      <c r="L2031" s="13">
        <v>80</v>
      </c>
      <c r="M2031" s="13">
        <v>511</v>
      </c>
      <c r="N2031" s="13">
        <v>1</v>
      </c>
      <c r="O2031" s="15"/>
      <c r="P2031" s="6">
        <v>42900.78056712963</v>
      </c>
      <c r="Q2031" s="11"/>
      <c r="R2031" s="19" t="s">
        <v>7183</v>
      </c>
      <c r="S2031" s="11"/>
      <c r="T2031" s="11"/>
      <c r="U2031" s="10" t="str">
        <f>HYPERLINK("https://pbs.twimg.com/profile_images/918821928273612801/Ld6m28PH.jpg","View")</f>
        <v>View</v>
      </c>
    </row>
    <row r="2032" spans="1:21" ht="71.400000000000006">
      <c r="A2032" s="6">
        <v>43440.930023148147</v>
      </c>
      <c r="B2032" s="7" t="str">
        <f>HYPERLINK("https://twitter.com/JBarraycoa","@JBarraycoa")</f>
        <v>@JBarraycoa</v>
      </c>
      <c r="C2032" s="8" t="s">
        <v>7184</v>
      </c>
      <c r="D2032" s="9" t="s">
        <v>7185</v>
      </c>
      <c r="E2032" s="10" t="str">
        <f>HYPERLINK("https://twitter.com/JBarraycoa/status/1070789787085365248","1070789787085365248")</f>
        <v>1070789787085365248</v>
      </c>
      <c r="F2032" s="12" t="s">
        <v>276</v>
      </c>
      <c r="G2032" s="12" t="s">
        <v>277</v>
      </c>
      <c r="H2032" s="11"/>
      <c r="I2032" s="13">
        <v>3</v>
      </c>
      <c r="J2032" s="13">
        <v>2</v>
      </c>
      <c r="K2032" s="14" t="str">
        <f t="shared" ref="K2032:K2033" si="341">HYPERLINK("http://twitter.com","Twitter Web Client")</f>
        <v>Twitter Web Client</v>
      </c>
      <c r="L2032" s="13">
        <v>1957</v>
      </c>
      <c r="M2032" s="13">
        <v>65</v>
      </c>
      <c r="N2032" s="13">
        <v>16</v>
      </c>
      <c r="O2032" s="15"/>
      <c r="P2032" s="6">
        <v>42529.426574074074</v>
      </c>
      <c r="Q2032" s="18" t="s">
        <v>1857</v>
      </c>
      <c r="R2032" s="19" t="s">
        <v>7186</v>
      </c>
      <c r="S2032" s="12" t="s">
        <v>7187</v>
      </c>
      <c r="T2032" s="11"/>
      <c r="U2032" s="10" t="str">
        <f>HYPERLINK("https://pbs.twimg.com/profile_images/1062077659948204036/pNJbQ9S9.jpg","View")</f>
        <v>View</v>
      </c>
    </row>
    <row r="2033" spans="1:21" ht="40.799999999999997">
      <c r="A2033" s="6">
        <v>43440.929641203707</v>
      </c>
      <c r="B2033" s="7" t="str">
        <f>HYPERLINK("https://twitter.com/migupelo2","@migupelo2")</f>
        <v>@migupelo2</v>
      </c>
      <c r="C2033" s="8" t="s">
        <v>1976</v>
      </c>
      <c r="D2033" s="9" t="s">
        <v>3990</v>
      </c>
      <c r="E2033" s="10" t="str">
        <f>HYPERLINK("https://twitter.com/migupelo2/status/1070789648778178560","1070789648778178560")</f>
        <v>1070789648778178560</v>
      </c>
      <c r="F2033" s="12" t="s">
        <v>3979</v>
      </c>
      <c r="G2033" s="11"/>
      <c r="H2033" s="11"/>
      <c r="I2033" s="13">
        <v>0</v>
      </c>
      <c r="J2033" s="13">
        <v>0</v>
      </c>
      <c r="K2033" s="14" t="str">
        <f t="shared" si="341"/>
        <v>Twitter Web Client</v>
      </c>
      <c r="L2033" s="13">
        <v>266</v>
      </c>
      <c r="M2033" s="13">
        <v>771</v>
      </c>
      <c r="N2033" s="13">
        <v>18</v>
      </c>
      <c r="O2033" s="15"/>
      <c r="P2033" s="6">
        <v>40477.868043981478</v>
      </c>
      <c r="Q2033" s="11"/>
      <c r="R2033" s="19" t="s">
        <v>1980</v>
      </c>
      <c r="S2033" s="11"/>
      <c r="T2033" s="11"/>
      <c r="U2033" s="10" t="str">
        <f>HYPERLINK("https://pbs.twimg.com/profile_images/2906316440/4ed1570f50fd6f70f1b28d458997dd81.jpeg","View")</f>
        <v>View</v>
      </c>
    </row>
    <row r="2034" spans="1:21" ht="61.2">
      <c r="A2034" s="6">
        <v>43440.928888888884</v>
      </c>
      <c r="B2034" s="7" t="str">
        <f>HYPERLINK("https://twitter.com/Joseluis_Cuevas","@Joseluis_Cuevas")</f>
        <v>@Joseluis_Cuevas</v>
      </c>
      <c r="C2034" s="8" t="s">
        <v>7142</v>
      </c>
      <c r="D2034" s="9" t="s">
        <v>7188</v>
      </c>
      <c r="E2034" s="10" t="str">
        <f>HYPERLINK("https://twitter.com/Joseluis_Cuevas/status/1070789375276011521","1070789375276011521")</f>
        <v>1070789375276011521</v>
      </c>
      <c r="F2034" s="18" t="s">
        <v>7189</v>
      </c>
      <c r="G2034" s="11"/>
      <c r="H2034" s="11"/>
      <c r="I2034" s="13">
        <v>0</v>
      </c>
      <c r="J2034" s="13">
        <v>0</v>
      </c>
      <c r="K2034" s="14" t="str">
        <f>HYPERLINK("http://twitter.com/download/iphone","Twitter for iPhone")</f>
        <v>Twitter for iPhone</v>
      </c>
      <c r="L2034" s="13">
        <v>418</v>
      </c>
      <c r="M2034" s="13">
        <v>1288</v>
      </c>
      <c r="N2034" s="13">
        <v>19</v>
      </c>
      <c r="O2034" s="15"/>
      <c r="P2034" s="6">
        <v>40464.780763888892</v>
      </c>
      <c r="Q2034" s="18" t="s">
        <v>2303</v>
      </c>
      <c r="R2034" s="19" t="s">
        <v>7145</v>
      </c>
      <c r="S2034" s="11"/>
      <c r="T2034" s="11"/>
      <c r="U2034" s="10" t="str">
        <f>HYPERLINK("https://pbs.twimg.com/profile_images/927671211638841344/RZARmwHf.jpg","View")</f>
        <v>View</v>
      </c>
    </row>
    <row r="2035" spans="1:21" ht="51">
      <c r="A2035" s="6">
        <v>43440.928645833337</v>
      </c>
      <c r="B2035" s="7" t="str">
        <f t="shared" ref="B2035:B2037" si="342">HYPERLINK("https://twitter.com/bitMomentum","@bitMomentum")</f>
        <v>@bitMomentum</v>
      </c>
      <c r="C2035" s="8" t="s">
        <v>28</v>
      </c>
      <c r="D2035" s="9" t="s">
        <v>3994</v>
      </c>
      <c r="E2035" s="10" t="str">
        <f>HYPERLINK("https://twitter.com/bitMomentum/status/1070789291079598081","1070789291079598081")</f>
        <v>1070789291079598081</v>
      </c>
      <c r="F2035" s="11"/>
      <c r="G2035" s="12" t="s">
        <v>3996</v>
      </c>
      <c r="H2035" s="11"/>
      <c r="I2035" s="13">
        <v>1</v>
      </c>
      <c r="J2035" s="13">
        <v>1</v>
      </c>
      <c r="K2035" s="14" t="str">
        <f t="shared" ref="K2035:K2037" si="343">HYPERLINK("http://www.bitmomentum.com","bitMomentum Bot")</f>
        <v>bitMomentum Bot</v>
      </c>
      <c r="L2035" s="13">
        <v>10254</v>
      </c>
      <c r="M2035" s="13">
        <v>1059</v>
      </c>
      <c r="N2035" s="13">
        <v>263</v>
      </c>
      <c r="O2035" s="15"/>
      <c r="P2035" s="6">
        <v>41608.667511574073</v>
      </c>
      <c r="Q2035" s="11"/>
      <c r="R2035" s="19" t="s">
        <v>30</v>
      </c>
      <c r="S2035" s="12" t="s">
        <v>31</v>
      </c>
      <c r="T2035" s="11"/>
      <c r="U2035" s="10" t="str">
        <f t="shared" ref="U2035:U2037" si="344">HYPERLINK("https://pbs.twimg.com/profile_images/378800000862185241/20ij2H3u.png","View")</f>
        <v>View</v>
      </c>
    </row>
    <row r="2036" spans="1:21" ht="51">
      <c r="A2036" s="6">
        <v>43440.928645833337</v>
      </c>
      <c r="B2036" s="7" t="str">
        <f t="shared" si="342"/>
        <v>@bitMomentum</v>
      </c>
      <c r="C2036" s="8" t="s">
        <v>28</v>
      </c>
      <c r="D2036" s="9" t="s">
        <v>3999</v>
      </c>
      <c r="E2036" s="10" t="str">
        <f>HYPERLINK("https://twitter.com/bitMomentum/status/1070789288600715264","1070789288600715264")</f>
        <v>1070789288600715264</v>
      </c>
      <c r="F2036" s="11"/>
      <c r="G2036" s="12" t="s">
        <v>4000</v>
      </c>
      <c r="H2036" s="11"/>
      <c r="I2036" s="13">
        <v>0</v>
      </c>
      <c r="J2036" s="13">
        <v>0</v>
      </c>
      <c r="K2036" s="14" t="str">
        <f t="shared" si="343"/>
        <v>bitMomentum Bot</v>
      </c>
      <c r="L2036" s="13">
        <v>10254</v>
      </c>
      <c r="M2036" s="13">
        <v>1059</v>
      </c>
      <c r="N2036" s="13">
        <v>263</v>
      </c>
      <c r="O2036" s="15"/>
      <c r="P2036" s="6">
        <v>41608.667511574073</v>
      </c>
      <c r="Q2036" s="11"/>
      <c r="R2036" s="19" t="s">
        <v>30</v>
      </c>
      <c r="S2036" s="12" t="s">
        <v>31</v>
      </c>
      <c r="T2036" s="11"/>
      <c r="U2036" s="10" t="str">
        <f t="shared" si="344"/>
        <v>View</v>
      </c>
    </row>
    <row r="2037" spans="1:21" ht="40.799999999999997">
      <c r="A2037" s="6">
        <v>43440.927951388891</v>
      </c>
      <c r="B2037" s="7" t="str">
        <f t="shared" si="342"/>
        <v>@bitMomentum</v>
      </c>
      <c r="C2037" s="8" t="s">
        <v>28</v>
      </c>
      <c r="D2037" s="9" t="s">
        <v>4001</v>
      </c>
      <c r="E2037" s="10" t="str">
        <f>HYPERLINK("https://twitter.com/bitMomentum/status/1070789039568105472","1070789039568105472")</f>
        <v>1070789039568105472</v>
      </c>
      <c r="F2037" s="11"/>
      <c r="G2037" s="12" t="s">
        <v>4002</v>
      </c>
      <c r="H2037" s="11"/>
      <c r="I2037" s="13">
        <v>0</v>
      </c>
      <c r="J2037" s="13">
        <v>0</v>
      </c>
      <c r="K2037" s="14" t="str">
        <f t="shared" si="343"/>
        <v>bitMomentum Bot</v>
      </c>
      <c r="L2037" s="13">
        <v>10254</v>
      </c>
      <c r="M2037" s="13">
        <v>1059</v>
      </c>
      <c r="N2037" s="13">
        <v>263</v>
      </c>
      <c r="O2037" s="15"/>
      <c r="P2037" s="6">
        <v>41608.667511574073</v>
      </c>
      <c r="Q2037" s="11"/>
      <c r="R2037" s="19" t="s">
        <v>30</v>
      </c>
      <c r="S2037" s="12" t="s">
        <v>31</v>
      </c>
      <c r="T2037" s="11"/>
      <c r="U2037" s="10" t="str">
        <f t="shared" si="344"/>
        <v>View</v>
      </c>
    </row>
    <row r="2038" spans="1:21" ht="20.399999999999999">
      <c r="A2038" s="6">
        <v>43440.927824074075</v>
      </c>
      <c r="B2038" s="7" t="str">
        <f>HYPERLINK("https://twitter.com/memecasel","@memecasel")</f>
        <v>@memecasel</v>
      </c>
      <c r="C2038" s="8" t="s">
        <v>7190</v>
      </c>
      <c r="D2038" s="9" t="s">
        <v>6430</v>
      </c>
      <c r="E2038" s="10" t="str">
        <f>HYPERLINK("https://twitter.com/memecasel/status/1070788992419926016","1070788992419926016")</f>
        <v>1070788992419926016</v>
      </c>
      <c r="F2038" s="12" t="s">
        <v>6689</v>
      </c>
      <c r="G2038" s="11"/>
      <c r="H2038" s="11"/>
      <c r="I2038" s="13">
        <v>0</v>
      </c>
      <c r="J2038" s="13">
        <v>0</v>
      </c>
      <c r="K2038" s="14" t="str">
        <f>HYPERLINK("http://www.facebook.com/twitter","Facebook")</f>
        <v>Facebook</v>
      </c>
      <c r="L2038" s="13">
        <v>243</v>
      </c>
      <c r="M2038" s="13">
        <v>2158</v>
      </c>
      <c r="N2038" s="13">
        <v>5</v>
      </c>
      <c r="O2038" s="15"/>
      <c r="P2038" s="6">
        <v>41194.889467592591</v>
      </c>
      <c r="Q2038" s="11"/>
      <c r="R2038" s="17"/>
      <c r="S2038" s="11"/>
      <c r="T2038" s="11"/>
      <c r="U2038" s="10" t="str">
        <f>HYPERLINK("https://pbs.twimg.com/profile_images/974063725714997251/3qeUVLsm.jpg","View")</f>
        <v>View</v>
      </c>
    </row>
    <row r="2039" spans="1:21" ht="20.399999999999999">
      <c r="A2039" s="6">
        <v>43440.926273148143</v>
      </c>
      <c r="B2039" s="7" t="str">
        <f>HYPERLINK("https://twitter.com/J_Symon","@J_Symon")</f>
        <v>@J_Symon</v>
      </c>
      <c r="C2039" s="8" t="s">
        <v>7191</v>
      </c>
      <c r="D2039" s="9" t="s">
        <v>7192</v>
      </c>
      <c r="E2039" s="10" t="str">
        <f>HYPERLINK("https://twitter.com/J_Symon/status/1070788428567060480","1070788428567060480")</f>
        <v>1070788428567060480</v>
      </c>
      <c r="F2039" s="12" t="s">
        <v>7193</v>
      </c>
      <c r="G2039" s="11"/>
      <c r="H2039" s="11"/>
      <c r="I2039" s="13">
        <v>0</v>
      </c>
      <c r="J2039" s="13">
        <v>0</v>
      </c>
      <c r="K2039" s="14" t="str">
        <f t="shared" ref="K2039:K2040" si="345">HYPERLINK("http://twitter.com/download/android","Twitter for Android")</f>
        <v>Twitter for Android</v>
      </c>
      <c r="L2039" s="13">
        <v>7043</v>
      </c>
      <c r="M2039" s="13">
        <v>6295</v>
      </c>
      <c r="N2039" s="13">
        <v>51</v>
      </c>
      <c r="O2039" s="15"/>
      <c r="P2039" s="6">
        <v>40485.510092592594</v>
      </c>
      <c r="Q2039" s="11"/>
      <c r="R2039" s="19" t="s">
        <v>7194</v>
      </c>
      <c r="S2039" s="12" t="s">
        <v>7195</v>
      </c>
      <c r="T2039" s="11"/>
      <c r="U2039" s="10" t="str">
        <f>HYPERLINK("https://pbs.twimg.com/profile_images/1043508577669918721/qmIjS1hs.jpg","View")</f>
        <v>View</v>
      </c>
    </row>
    <row r="2040" spans="1:21" ht="40.799999999999997">
      <c r="A2040" s="6">
        <v>43440.925902777773</v>
      </c>
      <c r="B2040" s="7" t="str">
        <f>HYPERLINK("https://twitter.com/Ignapoe","@Ignapoe")</f>
        <v>@Ignapoe</v>
      </c>
      <c r="C2040" s="8" t="s">
        <v>7196</v>
      </c>
      <c r="D2040" s="9" t="s">
        <v>7197</v>
      </c>
      <c r="E2040" s="10" t="str">
        <f>HYPERLINK("https://twitter.com/Ignapoe/status/1070788294223507460","1070788294223507460")</f>
        <v>1070788294223507460</v>
      </c>
      <c r="F2040" s="11"/>
      <c r="G2040" s="11"/>
      <c r="H2040" s="11"/>
      <c r="I2040" s="13">
        <v>7</v>
      </c>
      <c r="J2040" s="13">
        <v>13</v>
      </c>
      <c r="K2040" s="14" t="str">
        <f t="shared" si="345"/>
        <v>Twitter for Android</v>
      </c>
      <c r="L2040" s="13">
        <v>725</v>
      </c>
      <c r="M2040" s="13">
        <v>882</v>
      </c>
      <c r="N2040" s="13">
        <v>8</v>
      </c>
      <c r="O2040" s="15"/>
      <c r="P2040" s="6">
        <v>40461.45349537037</v>
      </c>
      <c r="Q2040" s="18" t="s">
        <v>7198</v>
      </c>
      <c r="R2040" s="19" t="s">
        <v>7199</v>
      </c>
      <c r="S2040" s="11"/>
      <c r="T2040" s="11"/>
      <c r="U2040" s="10" t="str">
        <f>HYPERLINK("https://pbs.twimg.com/profile_images/1033109099666452480/NJWLhibV.jpg","View")</f>
        <v>View</v>
      </c>
    </row>
    <row r="2041" spans="1:21" ht="102">
      <c r="A2041" s="6">
        <v>43440.925891203704</v>
      </c>
      <c r="B2041" s="7" t="str">
        <f>HYPERLINK("https://twitter.com/RosaMSJ2","@RosaMSJ2")</f>
        <v>@RosaMSJ2</v>
      </c>
      <c r="C2041" s="8" t="s">
        <v>4006</v>
      </c>
      <c r="D2041" s="9" t="s">
        <v>4007</v>
      </c>
      <c r="E2041" s="10" t="str">
        <f>HYPERLINK("https://twitter.com/RosaMSJ2/status/1070788290557698056","1070788290557698056")</f>
        <v>1070788290557698056</v>
      </c>
      <c r="F2041" s="12" t="s">
        <v>4010</v>
      </c>
      <c r="G2041" s="11"/>
      <c r="H2041" s="11"/>
      <c r="I2041" s="13">
        <v>1</v>
      </c>
      <c r="J2041" s="13">
        <v>3</v>
      </c>
      <c r="K2041" s="14" t="str">
        <f>HYPERLINK("http://twitter.com","Twitter Web Client")</f>
        <v>Twitter Web Client</v>
      </c>
      <c r="L2041" s="13">
        <v>755</v>
      </c>
      <c r="M2041" s="13">
        <v>720</v>
      </c>
      <c r="N2041" s="13">
        <v>0</v>
      </c>
      <c r="O2041" s="15"/>
      <c r="P2041" s="6">
        <v>43124.603460648148</v>
      </c>
      <c r="Q2041" s="11"/>
      <c r="R2041" s="19" t="s">
        <v>4011</v>
      </c>
      <c r="S2041" s="11"/>
      <c r="T2041" s="11"/>
      <c r="U2041" s="10" t="str">
        <f>HYPERLINK("https://pbs.twimg.com/profile_images/956168413684084737/z41Gd8nZ.jpg","View")</f>
        <v>View</v>
      </c>
    </row>
    <row r="2042" spans="1:21" ht="40.799999999999997">
      <c r="A2042" s="6">
        <v>43440.924641203703</v>
      </c>
      <c r="B2042" s="7" t="str">
        <f>HYPERLINK("https://twitter.com/Mijo767","@Mijo767")</f>
        <v>@Mijo767</v>
      </c>
      <c r="C2042" s="8" t="s">
        <v>4014</v>
      </c>
      <c r="D2042" s="9" t="s">
        <v>4015</v>
      </c>
      <c r="E2042" s="10" t="str">
        <f>HYPERLINK("https://twitter.com/Mijo767/status/1070787839791689733","1070787839791689733")</f>
        <v>1070787839791689733</v>
      </c>
      <c r="F2042" s="12" t="s">
        <v>4016</v>
      </c>
      <c r="G2042" s="12" t="s">
        <v>4017</v>
      </c>
      <c r="H2042" s="11"/>
      <c r="I2042" s="13">
        <v>0</v>
      </c>
      <c r="J2042" s="13">
        <v>0</v>
      </c>
      <c r="K2042" s="14" t="str">
        <f>HYPERLINK("http://twitter.com/download/iphone","Twitter for iPhone")</f>
        <v>Twitter for iPhone</v>
      </c>
      <c r="L2042" s="13">
        <v>421</v>
      </c>
      <c r="M2042" s="13">
        <v>400</v>
      </c>
      <c r="N2042" s="13">
        <v>0</v>
      </c>
      <c r="O2042" s="15"/>
      <c r="P2042" s="6">
        <v>43009.895844907413</v>
      </c>
      <c r="Q2042" s="18" t="s">
        <v>1682</v>
      </c>
      <c r="R2042" s="19" t="s">
        <v>4020</v>
      </c>
      <c r="S2042" s="11"/>
      <c r="T2042" s="11"/>
      <c r="U2042" s="10" t="str">
        <f>HYPERLINK("https://pbs.twimg.com/profile_images/1058390155348901888/dvFeCf-F.jpg","View")</f>
        <v>View</v>
      </c>
    </row>
    <row r="2043" spans="1:21" ht="40.799999999999997">
      <c r="A2043" s="6">
        <v>43440.924467592587</v>
      </c>
      <c r="B2043" s="7" t="str">
        <f>HYPERLINK("https://twitter.com/puntorojo__","@puntorojo__")</f>
        <v>@puntorojo__</v>
      </c>
      <c r="C2043" s="8" t="s">
        <v>4021</v>
      </c>
      <c r="D2043" s="9" t="s">
        <v>4022</v>
      </c>
      <c r="E2043" s="10" t="str">
        <f>HYPERLINK("https://twitter.com/puntorojo__/status/1070787776612892680","1070787776612892680")</f>
        <v>1070787776612892680</v>
      </c>
      <c r="F2043" s="11"/>
      <c r="G2043" s="11"/>
      <c r="H2043" s="11"/>
      <c r="I2043" s="13">
        <v>0</v>
      </c>
      <c r="J2043" s="13">
        <v>0</v>
      </c>
      <c r="K2043" s="14" t="str">
        <f t="shared" ref="K2043:K2045" si="346">HYPERLINK("http://twitter.com/download/android","Twitter for Android")</f>
        <v>Twitter for Android</v>
      </c>
      <c r="L2043" s="13">
        <v>64</v>
      </c>
      <c r="M2043" s="13">
        <v>213</v>
      </c>
      <c r="N2043" s="13">
        <v>0</v>
      </c>
      <c r="O2043" s="15"/>
      <c r="P2043" s="6">
        <v>43265.488217592589</v>
      </c>
      <c r="Q2043" s="18" t="s">
        <v>42</v>
      </c>
      <c r="R2043" s="19" t="s">
        <v>4027</v>
      </c>
      <c r="S2043" s="11"/>
      <c r="T2043" s="11"/>
      <c r="U2043" s="10" t="str">
        <f>HYPERLINK("https://pbs.twimg.com/profile_images/1038760915917828096/BUTYmQMh.jpg","View")</f>
        <v>View</v>
      </c>
    </row>
    <row r="2044" spans="1:21" ht="30.6">
      <c r="A2044" s="6">
        <v>43440.924155092594</v>
      </c>
      <c r="B2044" s="7" t="str">
        <f>HYPERLINK("https://twitter.com/Ponce1805","@Ponce1805")</f>
        <v>@Ponce1805</v>
      </c>
      <c r="C2044" s="8" t="s">
        <v>7200</v>
      </c>
      <c r="D2044" s="9" t="s">
        <v>7201</v>
      </c>
      <c r="E2044" s="10" t="str">
        <f>HYPERLINK("https://twitter.com/Ponce1805/status/1070787659893784577","1070787659893784577")</f>
        <v>1070787659893784577</v>
      </c>
      <c r="F2044" s="11"/>
      <c r="G2044" s="12" t="s">
        <v>7202</v>
      </c>
      <c r="H2044" s="11"/>
      <c r="I2044" s="13">
        <v>1</v>
      </c>
      <c r="J2044" s="13">
        <v>1</v>
      </c>
      <c r="K2044" s="14" t="str">
        <f t="shared" si="346"/>
        <v>Twitter for Android</v>
      </c>
      <c r="L2044" s="13">
        <v>853</v>
      </c>
      <c r="M2044" s="13">
        <v>878</v>
      </c>
      <c r="N2044" s="13">
        <v>22</v>
      </c>
      <c r="O2044" s="15"/>
      <c r="P2044" s="6">
        <v>41152.90892361111</v>
      </c>
      <c r="Q2044" s="11"/>
      <c r="R2044" s="19" t="s">
        <v>7203</v>
      </c>
      <c r="S2044" s="11"/>
      <c r="T2044" s="11"/>
      <c r="U2044" s="10" t="str">
        <f>HYPERLINK("https://pbs.twimg.com/profile_images/673174598238777346/m3BPykge.jpg","View")</f>
        <v>View</v>
      </c>
    </row>
    <row r="2045" spans="1:21" ht="51">
      <c r="A2045" s="6">
        <v>43440.922129629631</v>
      </c>
      <c r="B2045" s="7" t="str">
        <f>HYPERLINK("https://twitter.com/Gus__Vik","@Gus__Vik")</f>
        <v>@Gus__Vik</v>
      </c>
      <c r="C2045" s="8" t="s">
        <v>630</v>
      </c>
      <c r="D2045" s="9" t="s">
        <v>7204</v>
      </c>
      <c r="E2045" s="10" t="str">
        <f>HYPERLINK("https://twitter.com/Gus__Vik/status/1070786927375384577","1070786927375384577")</f>
        <v>1070786927375384577</v>
      </c>
      <c r="F2045" s="12" t="s">
        <v>6929</v>
      </c>
      <c r="G2045" s="11"/>
      <c r="H2045" s="11"/>
      <c r="I2045" s="13">
        <v>3</v>
      </c>
      <c r="J2045" s="13">
        <v>5</v>
      </c>
      <c r="K2045" s="14" t="str">
        <f t="shared" si="346"/>
        <v>Twitter for Android</v>
      </c>
      <c r="L2045" s="13">
        <v>1157</v>
      </c>
      <c r="M2045" s="13">
        <v>980</v>
      </c>
      <c r="N2045" s="13">
        <v>15</v>
      </c>
      <c r="O2045" s="15"/>
      <c r="P2045" s="6">
        <v>40666.461284722223</v>
      </c>
      <c r="Q2045" s="11"/>
      <c r="R2045" s="17"/>
      <c r="S2045" s="11"/>
      <c r="T2045" s="11"/>
      <c r="U2045" s="10" t="str">
        <f>HYPERLINK("https://pbs.twimg.com/profile_images/1060304776649433089/7Cnn7Jpp.jpg","View")</f>
        <v>View</v>
      </c>
    </row>
    <row r="2046" spans="1:21" ht="20.399999999999999">
      <c r="A2046" s="6">
        <v>43440.921400462961</v>
      </c>
      <c r="B2046" s="7" t="str">
        <f>HYPERLINK("https://twitter.com/SpaMagyar","@SpaMagyar")</f>
        <v>@SpaMagyar</v>
      </c>
      <c r="C2046" s="8" t="s">
        <v>7205</v>
      </c>
      <c r="D2046" s="9" t="s">
        <v>7206</v>
      </c>
      <c r="E2046" s="10" t="str">
        <f>HYPERLINK("https://twitter.com/SpaMagyar/status/1070786664350605312","1070786664350605312")</f>
        <v>1070786664350605312</v>
      </c>
      <c r="F2046" s="12" t="s">
        <v>2595</v>
      </c>
      <c r="G2046" s="11"/>
      <c r="H2046" s="11"/>
      <c r="I2046" s="13">
        <v>0</v>
      </c>
      <c r="J2046" s="13">
        <v>0</v>
      </c>
      <c r="K2046" s="14" t="str">
        <f>HYPERLINK("https://github.com/mariotaku/twidere/","Twidere for Android #7")</f>
        <v>Twidere for Android #7</v>
      </c>
      <c r="L2046" s="13">
        <v>13</v>
      </c>
      <c r="M2046" s="13">
        <v>43</v>
      </c>
      <c r="N2046" s="13">
        <v>0</v>
      </c>
      <c r="O2046" s="15"/>
      <c r="P2046" s="6">
        <v>40486.847638888888</v>
      </c>
      <c r="Q2046" s="11"/>
      <c r="R2046" s="17"/>
      <c r="S2046" s="11"/>
      <c r="T2046" s="11"/>
      <c r="U2046" s="10" t="str">
        <f>HYPERLINK("https://pbs.twimg.com/profile_images/949380871295045633/9SdOd1si.jpg","View")</f>
        <v>View</v>
      </c>
    </row>
    <row r="2047" spans="1:21" ht="40.799999999999997">
      <c r="A2047" s="6">
        <v>43440.921400462961</v>
      </c>
      <c r="B2047" s="7" t="str">
        <f>HYPERLINK("https://twitter.com/ElCapitanTantan","@ElCapitanTantan")</f>
        <v>@ElCapitanTantan</v>
      </c>
      <c r="C2047" s="8" t="s">
        <v>4028</v>
      </c>
      <c r="D2047" s="9" t="s">
        <v>4029</v>
      </c>
      <c r="E2047" s="10" t="str">
        <f>HYPERLINK("https://twitter.com/ElCapitanTantan/status/1070786661909438464","1070786661909438464")</f>
        <v>1070786661909438464</v>
      </c>
      <c r="F2047" s="11"/>
      <c r="G2047" s="11"/>
      <c r="H2047" s="11"/>
      <c r="I2047" s="13">
        <v>1</v>
      </c>
      <c r="J2047" s="13">
        <v>3</v>
      </c>
      <c r="K2047" s="14" t="str">
        <f t="shared" ref="K2047:K2048" si="347">HYPERLINK("http://twitter.com/download/android","Twitter for Android")</f>
        <v>Twitter for Android</v>
      </c>
      <c r="L2047" s="13">
        <v>12</v>
      </c>
      <c r="M2047" s="13">
        <v>38</v>
      </c>
      <c r="N2047" s="13">
        <v>0</v>
      </c>
      <c r="O2047" s="15"/>
      <c r="P2047" s="6">
        <v>43388.909467592588</v>
      </c>
      <c r="Q2047" s="18" t="s">
        <v>42</v>
      </c>
      <c r="R2047" s="19" t="s">
        <v>4030</v>
      </c>
      <c r="S2047" s="11"/>
      <c r="T2047" s="11"/>
      <c r="U2047" s="10" t="str">
        <f>HYPERLINK("https://pbs.twimg.com/profile_images/1051926584486227969/zh6vxNww.jpg","View")</f>
        <v>View</v>
      </c>
    </row>
    <row r="2048" spans="1:21" ht="40.799999999999997">
      <c r="A2048" s="6">
        <v>43440.920995370368</v>
      </c>
      <c r="B2048" s="7" t="str">
        <f>HYPERLINK("https://twitter.com/Guardaespalda10","@Guardaespalda10")</f>
        <v>@Guardaespalda10</v>
      </c>
      <c r="C2048" s="8" t="s">
        <v>3203</v>
      </c>
      <c r="D2048" s="9" t="s">
        <v>4031</v>
      </c>
      <c r="E2048" s="10" t="str">
        <f>HYPERLINK("https://twitter.com/Guardaespalda10/status/1070786517818318849","1070786517818318849")</f>
        <v>1070786517818318849</v>
      </c>
      <c r="F2048" s="12" t="s">
        <v>4033</v>
      </c>
      <c r="G2048" s="12" t="s">
        <v>4034</v>
      </c>
      <c r="H2048" s="11"/>
      <c r="I2048" s="13">
        <v>2</v>
      </c>
      <c r="J2048" s="13">
        <v>0</v>
      </c>
      <c r="K2048" s="14" t="str">
        <f t="shared" si="347"/>
        <v>Twitter for Android</v>
      </c>
      <c r="L2048" s="13">
        <v>145</v>
      </c>
      <c r="M2048" s="13">
        <v>122</v>
      </c>
      <c r="N2048" s="13">
        <v>0</v>
      </c>
      <c r="O2048" s="15"/>
      <c r="P2048" s="6">
        <v>42422.382002314815</v>
      </c>
      <c r="Q2048" s="11"/>
      <c r="R2048" s="19" t="s">
        <v>3208</v>
      </c>
      <c r="S2048" s="11"/>
      <c r="T2048" s="11"/>
      <c r="U2048" s="10" t="str">
        <f>HYPERLINK("https://pbs.twimg.com/profile_images/747429382311002116/JJfoMqW1.jpg","View")</f>
        <v>View</v>
      </c>
    </row>
    <row r="2049" spans="1:21" ht="30.6">
      <c r="A2049" s="6">
        <v>43440.920277777783</v>
      </c>
      <c r="B2049" s="7" t="str">
        <f>HYPERLINK("https://twitter.com/NoPotemosNo","@NoPotemosNo")</f>
        <v>@NoPotemosNo</v>
      </c>
      <c r="C2049" s="8" t="s">
        <v>7207</v>
      </c>
      <c r="D2049" s="9" t="s">
        <v>7208</v>
      </c>
      <c r="E2049" s="10" t="str">
        <f>HYPERLINK("https://twitter.com/NoPotemosNo/status/1070786257469538304","1070786257469538304")</f>
        <v>1070786257469538304</v>
      </c>
      <c r="F2049" s="12" t="s">
        <v>7209</v>
      </c>
      <c r="G2049" s="11"/>
      <c r="H2049" s="11"/>
      <c r="I2049" s="13">
        <v>1</v>
      </c>
      <c r="J2049" s="13">
        <v>1</v>
      </c>
      <c r="K2049" s="14" t="str">
        <f>HYPERLINK("http://twitter.com","Twitter Web Client")</f>
        <v>Twitter Web Client</v>
      </c>
      <c r="L2049" s="13">
        <v>148</v>
      </c>
      <c r="M2049" s="13">
        <v>12</v>
      </c>
      <c r="N2049" s="13">
        <v>3</v>
      </c>
      <c r="O2049" s="15"/>
      <c r="P2049" s="6">
        <v>42853.515023148153</v>
      </c>
      <c r="Q2049" s="11"/>
      <c r="R2049" s="19" t="s">
        <v>7210</v>
      </c>
      <c r="S2049" s="11"/>
      <c r="T2049" s="11"/>
      <c r="U2049" s="10" t="str">
        <f>HYPERLINK("https://pbs.twimg.com/profile_images/857908903694262272/tXMyaWAJ.jpg","View")</f>
        <v>View</v>
      </c>
    </row>
    <row r="2050" spans="1:21" ht="20.399999999999999">
      <c r="A2050" s="6">
        <v>43440.919895833329</v>
      </c>
      <c r="B2050" s="7" t="str">
        <f>HYPERLINK("https://twitter.com/sumariumcom","@sumariumcom")</f>
        <v>@sumariumcom</v>
      </c>
      <c r="C2050" s="8" t="s">
        <v>4153</v>
      </c>
      <c r="D2050" s="9" t="s">
        <v>6640</v>
      </c>
      <c r="E2050" s="10" t="str">
        <f>HYPERLINK("https://twitter.com/sumariumcom/status/1070786118709338114","1070786118709338114")</f>
        <v>1070786118709338114</v>
      </c>
      <c r="F2050" s="12" t="s">
        <v>4156</v>
      </c>
      <c r="G2050" s="12" t="s">
        <v>7211</v>
      </c>
      <c r="H2050" s="11"/>
      <c r="I2050" s="13">
        <v>0</v>
      </c>
      <c r="J2050" s="13">
        <v>0</v>
      </c>
      <c r="K2050" s="14" t="str">
        <f>HYPERLINK("https://about.twitter.com/products/tweetdeck","TweetDeck")</f>
        <v>TweetDeck</v>
      </c>
      <c r="L2050" s="13">
        <v>164401</v>
      </c>
      <c r="M2050" s="13">
        <v>996</v>
      </c>
      <c r="N2050" s="13">
        <v>1122</v>
      </c>
      <c r="O2050" s="15"/>
      <c r="P2050" s="6">
        <v>40977.809594907405</v>
      </c>
      <c r="Q2050" s="18" t="s">
        <v>4159</v>
      </c>
      <c r="R2050" s="17"/>
      <c r="S2050" s="12" t="s">
        <v>4160</v>
      </c>
      <c r="T2050" s="11"/>
      <c r="U2050" s="10" t="str">
        <f>HYPERLINK("https://pbs.twimg.com/profile_images/1061987847874469888/mok5IDTt.jpg","View")</f>
        <v>View</v>
      </c>
    </row>
    <row r="2051" spans="1:21" ht="40.799999999999997">
      <c r="A2051" s="6">
        <v>43440.919502314813</v>
      </c>
      <c r="B2051" s="7" t="str">
        <f>HYPERLINK("https://twitter.com/Manuel_RZ","@Manuel_RZ")</f>
        <v>@Manuel_RZ</v>
      </c>
      <c r="C2051" s="8" t="s">
        <v>4035</v>
      </c>
      <c r="D2051" s="9" t="s">
        <v>4036</v>
      </c>
      <c r="E2051" s="10" t="str">
        <f>HYPERLINK("https://twitter.com/Manuel_RZ/status/1070785977097117696","1070785977097117696")</f>
        <v>1070785977097117696</v>
      </c>
      <c r="F2051" s="11"/>
      <c r="G2051" s="12" t="s">
        <v>4038</v>
      </c>
      <c r="H2051" s="11"/>
      <c r="I2051" s="13">
        <v>0</v>
      </c>
      <c r="J2051" s="13">
        <v>0</v>
      </c>
      <c r="K2051" s="14" t="str">
        <f t="shared" ref="K2051:K2052" si="348">HYPERLINK("http://twitter.com/download/iphone","Twitter for iPhone")</f>
        <v>Twitter for iPhone</v>
      </c>
      <c r="L2051" s="13">
        <v>239</v>
      </c>
      <c r="M2051" s="13">
        <v>94</v>
      </c>
      <c r="N2051" s="13">
        <v>9</v>
      </c>
      <c r="O2051" s="15"/>
      <c r="P2051" s="6">
        <v>40728.021261574075</v>
      </c>
      <c r="Q2051" s="11"/>
      <c r="R2051" s="17"/>
      <c r="S2051" s="11"/>
      <c r="T2051" s="11"/>
      <c r="U2051" s="10" t="str">
        <f>HYPERLINK("https://pbs.twimg.com/profile_images/511887337224429569/TA640koq.jpeg","View")</f>
        <v>View</v>
      </c>
    </row>
    <row r="2052" spans="1:21" ht="61.2">
      <c r="A2052" s="6">
        <v>43440.919456018513</v>
      </c>
      <c r="B2052" s="7" t="str">
        <f>HYPERLINK("https://twitter.com/espainiakobeldu","@espainiakobeldu")</f>
        <v>@espainiakobeldu</v>
      </c>
      <c r="C2052" s="8" t="s">
        <v>3242</v>
      </c>
      <c r="D2052" s="9" t="s">
        <v>4040</v>
      </c>
      <c r="E2052" s="10" t="str">
        <f>HYPERLINK("https://twitter.com/espainiakobeldu/status/1070785958574989312","1070785958574989312")</f>
        <v>1070785958574989312</v>
      </c>
      <c r="F2052" s="12" t="s">
        <v>4041</v>
      </c>
      <c r="G2052" s="12" t="s">
        <v>4042</v>
      </c>
      <c r="H2052" s="11"/>
      <c r="I2052" s="13">
        <v>0</v>
      </c>
      <c r="J2052" s="13">
        <v>1</v>
      </c>
      <c r="K2052" s="14" t="str">
        <f t="shared" si="348"/>
        <v>Twitter for iPhone</v>
      </c>
      <c r="L2052" s="13">
        <v>478</v>
      </c>
      <c r="M2052" s="13">
        <v>876</v>
      </c>
      <c r="N2052" s="13">
        <v>0</v>
      </c>
      <c r="O2052" s="15"/>
      <c r="P2052" s="6">
        <v>43338.070520833338</v>
      </c>
      <c r="Q2052" s="18" t="s">
        <v>42</v>
      </c>
      <c r="R2052" s="19" t="s">
        <v>3247</v>
      </c>
      <c r="S2052" s="11"/>
      <c r="T2052" s="11"/>
      <c r="U2052" s="10" t="str">
        <f>HYPERLINK("https://pbs.twimg.com/profile_images/1034820060966281217/hzUW9nV0.jpg","View")</f>
        <v>View</v>
      </c>
    </row>
    <row r="2053" spans="1:21" ht="40.799999999999997">
      <c r="A2053" s="6">
        <v>43440.919386574074</v>
      </c>
      <c r="B2053" s="7" t="str">
        <f>HYPERLINK("https://twitter.com/SrSordido","@SrSordido")</f>
        <v>@SrSordido</v>
      </c>
      <c r="C2053" s="8" t="s">
        <v>7212</v>
      </c>
      <c r="D2053" s="9" t="s">
        <v>7213</v>
      </c>
      <c r="E2053" s="10" t="str">
        <f>HYPERLINK("https://twitter.com/SrSordido/status/1070785934608793600","1070785934608793600")</f>
        <v>1070785934608793600</v>
      </c>
      <c r="F2053" s="11"/>
      <c r="G2053" s="11"/>
      <c r="H2053" s="11"/>
      <c r="I2053" s="13">
        <v>4</v>
      </c>
      <c r="J2053" s="13">
        <v>12</v>
      </c>
      <c r="K2053" s="14" t="str">
        <f t="shared" ref="K2053:K2054" si="349">HYPERLINK("http://twitter.com/download/android","Twitter for Android")</f>
        <v>Twitter for Android</v>
      </c>
      <c r="L2053" s="13">
        <v>324</v>
      </c>
      <c r="M2053" s="13">
        <v>389</v>
      </c>
      <c r="N2053" s="13">
        <v>4</v>
      </c>
      <c r="O2053" s="15"/>
      <c r="P2053" s="6">
        <v>41665.545729166668</v>
      </c>
      <c r="Q2053" s="18" t="s">
        <v>7214</v>
      </c>
      <c r="R2053" s="19" t="s">
        <v>7215</v>
      </c>
      <c r="S2053" s="11"/>
      <c r="T2053" s="11"/>
      <c r="U2053" s="10" t="str">
        <f>HYPERLINK("https://pbs.twimg.com/profile_images/732329480635711488/8O43H7kz.jpg","View")</f>
        <v>View</v>
      </c>
    </row>
    <row r="2054" spans="1:21" ht="20.399999999999999">
      <c r="A2054" s="6">
        <v>43440.919351851851</v>
      </c>
      <c r="B2054" s="7" t="str">
        <f>HYPERLINK("https://twitter.com/egokitzeko","@egokitzeko")</f>
        <v>@egokitzeko</v>
      </c>
      <c r="C2054" s="8" t="s">
        <v>4043</v>
      </c>
      <c r="D2054" s="9" t="s">
        <v>4044</v>
      </c>
      <c r="E2054" s="10" t="str">
        <f>HYPERLINK("https://twitter.com/egokitzeko/status/1070785922390740993","1070785922390740993")</f>
        <v>1070785922390740993</v>
      </c>
      <c r="F2054" s="11"/>
      <c r="G2054" s="12" t="s">
        <v>4047</v>
      </c>
      <c r="H2054" s="11"/>
      <c r="I2054" s="13">
        <v>0</v>
      </c>
      <c r="J2054" s="13">
        <v>4</v>
      </c>
      <c r="K2054" s="14" t="str">
        <f t="shared" si="349"/>
        <v>Twitter for Android</v>
      </c>
      <c r="L2054" s="13">
        <v>3224</v>
      </c>
      <c r="M2054" s="13">
        <v>2232</v>
      </c>
      <c r="N2054" s="13">
        <v>16</v>
      </c>
      <c r="O2054" s="15"/>
      <c r="P2054" s="6">
        <v>42682.661851851852</v>
      </c>
      <c r="Q2054" s="11"/>
      <c r="R2054" s="19" t="s">
        <v>4049</v>
      </c>
      <c r="S2054" s="11"/>
      <c r="T2054" s="11"/>
      <c r="U2054" s="10" t="str">
        <f>HYPERLINK("https://pbs.twimg.com/profile_images/1071310421511020544/qIhTXw5Z.jpg","View")</f>
        <v>View</v>
      </c>
    </row>
    <row r="2055" spans="1:21" ht="61.2">
      <c r="A2055" s="6">
        <v>43440.919259259259</v>
      </c>
      <c r="B2055" s="7" t="str">
        <f>HYPERLINK("https://twitter.com/Brocetatto","@Brocetatto")</f>
        <v>@Brocetatto</v>
      </c>
      <c r="C2055" s="8" t="s">
        <v>7216</v>
      </c>
      <c r="D2055" s="9" t="s">
        <v>7217</v>
      </c>
      <c r="E2055" s="10" t="str">
        <f>HYPERLINK("https://twitter.com/Brocetatto/status/1070785885954863104","1070785885954863104")</f>
        <v>1070785885954863104</v>
      </c>
      <c r="F2055" s="12" t="s">
        <v>7218</v>
      </c>
      <c r="G2055" s="12" t="s">
        <v>7219</v>
      </c>
      <c r="H2055" s="11"/>
      <c r="I2055" s="13">
        <v>1</v>
      </c>
      <c r="J2055" s="13">
        <v>0</v>
      </c>
      <c r="K2055" s="14" t="str">
        <f>HYPERLINK("http://twitter.com/download/iphone","Twitter for iPhone")</f>
        <v>Twitter for iPhone</v>
      </c>
      <c r="L2055" s="13">
        <v>818</v>
      </c>
      <c r="M2055" s="13">
        <v>776</v>
      </c>
      <c r="N2055" s="13">
        <v>2</v>
      </c>
      <c r="O2055" s="15"/>
      <c r="P2055" s="6">
        <v>40682.619837962964</v>
      </c>
      <c r="Q2055" s="18" t="s">
        <v>7220</v>
      </c>
      <c r="R2055" s="19" t="s">
        <v>7221</v>
      </c>
      <c r="S2055" s="11"/>
      <c r="T2055" s="11"/>
      <c r="U2055" s="10" t="str">
        <f>HYPERLINK("https://pbs.twimg.com/profile_images/2622258176/image.jpg","View")</f>
        <v>View</v>
      </c>
    </row>
    <row r="2056" spans="1:21" ht="40.799999999999997">
      <c r="A2056" s="6">
        <v>43440.918900462959</v>
      </c>
      <c r="B2056" s="7" t="str">
        <f>HYPERLINK("https://twitter.com/MVidaller","@MVidaller")</f>
        <v>@MVidaller</v>
      </c>
      <c r="C2056" s="8" t="s">
        <v>4887</v>
      </c>
      <c r="D2056" s="9" t="s">
        <v>7222</v>
      </c>
      <c r="E2056" s="10" t="str">
        <f>HYPERLINK("https://twitter.com/MVidaller/status/1070785758569615360","1070785758569615360")</f>
        <v>1070785758569615360</v>
      </c>
      <c r="F2056" s="12" t="s">
        <v>7223</v>
      </c>
      <c r="G2056" s="11"/>
      <c r="H2056" s="11"/>
      <c r="I2056" s="13">
        <v>0</v>
      </c>
      <c r="J2056" s="13">
        <v>0</v>
      </c>
      <c r="K2056" s="14" t="str">
        <f>HYPERLINK("http://twitter.com","Twitter Web Client")</f>
        <v>Twitter Web Client</v>
      </c>
      <c r="L2056" s="13">
        <v>422</v>
      </c>
      <c r="M2056" s="13">
        <v>2278</v>
      </c>
      <c r="N2056" s="13">
        <v>6</v>
      </c>
      <c r="O2056" s="15"/>
      <c r="P2056" s="6">
        <v>40922.855300925927</v>
      </c>
      <c r="Q2056" s="18" t="s">
        <v>462</v>
      </c>
      <c r="R2056" s="19" t="s">
        <v>4889</v>
      </c>
      <c r="S2056" s="11"/>
      <c r="T2056" s="11"/>
      <c r="U2056" s="10" t="str">
        <f>HYPERLINK("https://pbs.twimg.com/profile_images/921120763096305664/dKmjiWJU.jpg","View")</f>
        <v>View</v>
      </c>
    </row>
    <row r="2057" spans="1:21" ht="40.799999999999997">
      <c r="A2057" s="6">
        <v>43440.918391203704</v>
      </c>
      <c r="B2057" s="7" t="str">
        <f>HYPERLINK("https://twitter.com/nepptunno1903","@nepptunno1903")</f>
        <v>@nepptunno1903</v>
      </c>
      <c r="C2057" s="8" t="s">
        <v>4051</v>
      </c>
      <c r="D2057" s="9" t="s">
        <v>4052</v>
      </c>
      <c r="E2057" s="10" t="str">
        <f>HYPERLINK("https://twitter.com/nepptunno1903/status/1070785575089778688","1070785575089778688")</f>
        <v>1070785575089778688</v>
      </c>
      <c r="F2057" s="11"/>
      <c r="G2057" s="12" t="s">
        <v>4053</v>
      </c>
      <c r="H2057" s="11"/>
      <c r="I2057" s="13">
        <v>0</v>
      </c>
      <c r="J2057" s="13">
        <v>0</v>
      </c>
      <c r="K2057" s="14" t="str">
        <f t="shared" ref="K2057:K2059" si="350">HYPERLINK("http://twitter.com/download/android","Twitter for Android")</f>
        <v>Twitter for Android</v>
      </c>
      <c r="L2057" s="13">
        <v>333</v>
      </c>
      <c r="M2057" s="13">
        <v>401</v>
      </c>
      <c r="N2057" s="13">
        <v>8</v>
      </c>
      <c r="O2057" s="15"/>
      <c r="P2057" s="6">
        <v>41636.647511574076</v>
      </c>
      <c r="Q2057" s="18" t="s">
        <v>4054</v>
      </c>
      <c r="R2057" s="23" t="s">
        <v>4055</v>
      </c>
      <c r="S2057" s="12" t="s">
        <v>4056</v>
      </c>
      <c r="T2057" s="11"/>
      <c r="U2057" s="10" t="str">
        <f>HYPERLINK("https://pbs.twimg.com/profile_images/1013015246531948545/Mn9MnsGz.jpg","View")</f>
        <v>View</v>
      </c>
    </row>
    <row r="2058" spans="1:21" ht="20.399999999999999">
      <c r="A2058" s="6">
        <v>43440.918379629627</v>
      </c>
      <c r="B2058" s="7" t="str">
        <f>HYPERLINK("https://twitter.com/aneshali","@aneshali")</f>
        <v>@aneshali</v>
      </c>
      <c r="C2058" s="8" t="s">
        <v>7224</v>
      </c>
      <c r="D2058" s="9" t="s">
        <v>2160</v>
      </c>
      <c r="E2058" s="10" t="str">
        <f>HYPERLINK("https://twitter.com/aneshali/status/1070785570413142016","1070785570413142016")</f>
        <v>1070785570413142016</v>
      </c>
      <c r="F2058" s="12" t="s">
        <v>2161</v>
      </c>
      <c r="G2058" s="11"/>
      <c r="H2058" s="11"/>
      <c r="I2058" s="13">
        <v>0</v>
      </c>
      <c r="J2058" s="13">
        <v>1</v>
      </c>
      <c r="K2058" s="14" t="str">
        <f t="shared" si="350"/>
        <v>Twitter for Android</v>
      </c>
      <c r="L2058" s="13">
        <v>3189</v>
      </c>
      <c r="M2058" s="13">
        <v>2693</v>
      </c>
      <c r="N2058" s="13">
        <v>99</v>
      </c>
      <c r="O2058" s="15"/>
      <c r="P2058" s="6">
        <v>40891.477685185186</v>
      </c>
      <c r="Q2058" s="18" t="s">
        <v>42</v>
      </c>
      <c r="R2058" s="19" t="s">
        <v>7225</v>
      </c>
      <c r="S2058" s="11"/>
      <c r="T2058" s="11"/>
      <c r="U2058" s="10" t="str">
        <f>HYPERLINK("https://pbs.twimg.com/profile_images/1070707866829504516/jISp6CZf.jpg","View")</f>
        <v>View</v>
      </c>
    </row>
    <row r="2059" spans="1:21" ht="40.799999999999997">
      <c r="A2059" s="6">
        <v>43440.917824074073</v>
      </c>
      <c r="B2059" s="7" t="str">
        <f>HYPERLINK("https://twitter.com/caval100","@caval100")</f>
        <v>@caval100</v>
      </c>
      <c r="C2059" s="8" t="s">
        <v>4057</v>
      </c>
      <c r="D2059" s="9" t="s">
        <v>4058</v>
      </c>
      <c r="E2059" s="10" t="str">
        <f>HYPERLINK("https://twitter.com/caval100/status/1070785367220076544","1070785367220076544")</f>
        <v>1070785367220076544</v>
      </c>
      <c r="F2059" s="11"/>
      <c r="G2059" s="12" t="s">
        <v>4059</v>
      </c>
      <c r="H2059" s="11"/>
      <c r="I2059" s="13">
        <v>0</v>
      </c>
      <c r="J2059" s="13">
        <v>0</v>
      </c>
      <c r="K2059" s="14" t="str">
        <f t="shared" si="350"/>
        <v>Twitter for Android</v>
      </c>
      <c r="L2059" s="13">
        <v>119343</v>
      </c>
      <c r="M2059" s="13">
        <v>94000</v>
      </c>
      <c r="N2059" s="13">
        <v>982</v>
      </c>
      <c r="O2059" s="15"/>
      <c r="P2059" s="6">
        <v>40079.437094907407</v>
      </c>
      <c r="Q2059" s="18" t="s">
        <v>2835</v>
      </c>
      <c r="R2059" s="19" t="s">
        <v>4060</v>
      </c>
      <c r="S2059" s="12" t="s">
        <v>4061</v>
      </c>
      <c r="T2059" s="11"/>
      <c r="U2059" s="10" t="str">
        <f>HYPERLINK("https://pbs.twimg.com/profile_images/965350678301429760/uvGI7g8U.jpg","View")</f>
        <v>View</v>
      </c>
    </row>
    <row r="2060" spans="1:21" ht="30.6">
      <c r="A2060" s="6">
        <v>43440.917696759258</v>
      </c>
      <c r="B2060" s="7" t="str">
        <f>HYPERLINK("https://twitter.com/emmarias71","@emmarias71")</f>
        <v>@emmarias71</v>
      </c>
      <c r="C2060" s="8" t="s">
        <v>6989</v>
      </c>
      <c r="D2060" s="9" t="s">
        <v>7226</v>
      </c>
      <c r="E2060" s="10" t="str">
        <f>HYPERLINK("https://twitter.com/emmarias71/status/1070785322974359552","1070785322974359552")</f>
        <v>1070785322974359552</v>
      </c>
      <c r="F2060" s="12" t="s">
        <v>1187</v>
      </c>
      <c r="G2060" s="11"/>
      <c r="H2060" s="11"/>
      <c r="I2060" s="13">
        <v>0</v>
      </c>
      <c r="J2060" s="13">
        <v>1</v>
      </c>
      <c r="K2060" s="14" t="str">
        <f>HYPERLINK("http://twitter.com/download/iphone","Twitter for iPhone")</f>
        <v>Twitter for iPhone</v>
      </c>
      <c r="L2060" s="13">
        <v>27</v>
      </c>
      <c r="M2060" s="13">
        <v>139</v>
      </c>
      <c r="N2060" s="13">
        <v>1</v>
      </c>
      <c r="O2060" s="15"/>
      <c r="P2060" s="6">
        <v>41834.816944444443</v>
      </c>
      <c r="Q2060" s="11"/>
      <c r="R2060" s="19" t="s">
        <v>7227</v>
      </c>
      <c r="S2060" s="11"/>
      <c r="T2060" s="11"/>
      <c r="U2060" s="10" t="str">
        <f>HYPERLINK("https://pbs.twimg.com/profile_images/488745114777292802/3Ch6JduH.jpeg","View")</f>
        <v>View</v>
      </c>
    </row>
    <row r="2061" spans="1:21" ht="40.799999999999997">
      <c r="A2061" s="6">
        <v>43440.916655092587</v>
      </c>
      <c r="B2061" s="7" t="str">
        <f>HYPERLINK("https://twitter.com/LIGON36","@LIGON36")</f>
        <v>@LIGON36</v>
      </c>
      <c r="C2061" s="8" t="s">
        <v>7228</v>
      </c>
      <c r="D2061" s="9" t="s">
        <v>7229</v>
      </c>
      <c r="E2061" s="10" t="str">
        <f>HYPERLINK("https://twitter.com/LIGON36/status/1070784945382154240","1070784945382154240")</f>
        <v>1070784945382154240</v>
      </c>
      <c r="F2061" s="18" t="s">
        <v>7230</v>
      </c>
      <c r="G2061" s="11"/>
      <c r="H2061" s="11"/>
      <c r="I2061" s="13">
        <v>0</v>
      </c>
      <c r="J2061" s="13">
        <v>0</v>
      </c>
      <c r="K2061" s="14" t="str">
        <f>HYPERLINK("http://www.facebook.com/twitter","Facebook")</f>
        <v>Facebook</v>
      </c>
      <c r="L2061" s="13">
        <v>16</v>
      </c>
      <c r="M2061" s="13">
        <v>94</v>
      </c>
      <c r="N2061" s="13">
        <v>0</v>
      </c>
      <c r="O2061" s="15"/>
      <c r="P2061" s="6">
        <v>40316.574189814812</v>
      </c>
      <c r="Q2061" s="18" t="s">
        <v>7231</v>
      </c>
      <c r="R2061" s="19" t="s">
        <v>7232</v>
      </c>
      <c r="S2061" s="11"/>
      <c r="T2061" s="11"/>
      <c r="U2061" s="10" t="str">
        <f>HYPERLINK("https://pbs.twimg.com/profile_images/2744398162/a34fac72b64f3f997657fdd5bd9b88a7.jpeg","View")</f>
        <v>View</v>
      </c>
    </row>
    <row r="2062" spans="1:21" ht="30.6">
      <c r="A2062" s="6">
        <v>43440.916400462964</v>
      </c>
      <c r="B2062" s="7" t="str">
        <f>HYPERLINK("https://twitter.com/okdiario","@okdiario")</f>
        <v>@okdiario</v>
      </c>
      <c r="C2062" s="8" t="s">
        <v>1716</v>
      </c>
      <c r="D2062" s="9" t="s">
        <v>4062</v>
      </c>
      <c r="E2062" s="10" t="str">
        <f>HYPERLINK("https://twitter.com/okdiario/status/1070784851584958465","1070784851584958465")</f>
        <v>1070784851584958465</v>
      </c>
      <c r="F2062" s="12" t="s">
        <v>4063</v>
      </c>
      <c r="G2062" s="11"/>
      <c r="H2062" s="11"/>
      <c r="I2062" s="13">
        <v>14</v>
      </c>
      <c r="J2062" s="13">
        <v>37</v>
      </c>
      <c r="K2062" s="14" t="str">
        <f>HYPERLINK("https://www.echobox.com","Echobox Social")</f>
        <v>Echobox Social</v>
      </c>
      <c r="L2062" s="13">
        <v>112408</v>
      </c>
      <c r="M2062" s="13">
        <v>343</v>
      </c>
      <c r="N2062" s="13">
        <v>1440</v>
      </c>
      <c r="O2062" s="16" t="s">
        <v>25</v>
      </c>
      <c r="P2062" s="6">
        <v>42241.708229166667</v>
      </c>
      <c r="Q2062" s="11"/>
      <c r="R2062" s="19" t="s">
        <v>1722</v>
      </c>
      <c r="S2062" s="12" t="s">
        <v>1723</v>
      </c>
      <c r="T2062" s="11"/>
      <c r="U2062" s="10" t="str">
        <f>HYPERLINK("https://pbs.twimg.com/profile_images/789113773697208320/3LvFvi8Q.jpg","View")</f>
        <v>View</v>
      </c>
    </row>
    <row r="2063" spans="1:21" ht="40.799999999999997">
      <c r="A2063" s="6">
        <v>43440.916238425925</v>
      </c>
      <c r="B2063" s="7" t="str">
        <f>HYPERLINK("https://twitter.com/iccparla","@iccparla")</f>
        <v>@iccparla</v>
      </c>
      <c r="C2063" s="8" t="s">
        <v>7233</v>
      </c>
      <c r="D2063" s="9" t="s">
        <v>7234</v>
      </c>
      <c r="E2063" s="10" t="str">
        <f>HYPERLINK("https://twitter.com/iccparla/status/1070784791274897408","1070784791274897408")</f>
        <v>1070784791274897408</v>
      </c>
      <c r="F2063" s="11"/>
      <c r="G2063" s="11"/>
      <c r="H2063" s="11"/>
      <c r="I2063" s="13">
        <v>0</v>
      </c>
      <c r="J2063" s="13">
        <v>0</v>
      </c>
      <c r="K2063" s="14" t="str">
        <f t="shared" ref="K2063:K2064" si="351">HYPERLINK("http://twitter.com","Twitter Web Client")</f>
        <v>Twitter Web Client</v>
      </c>
      <c r="L2063" s="13">
        <v>1238</v>
      </c>
      <c r="M2063" s="13">
        <v>360</v>
      </c>
      <c r="N2063" s="13">
        <v>18</v>
      </c>
      <c r="O2063" s="15"/>
      <c r="P2063" s="6">
        <v>40635.037523148145</v>
      </c>
      <c r="Q2063" s="18" t="s">
        <v>7235</v>
      </c>
      <c r="R2063" s="19" t="s">
        <v>7236</v>
      </c>
      <c r="S2063" s="11"/>
      <c r="T2063" s="11"/>
      <c r="U2063" s="10" t="str">
        <f>HYPERLINK("https://pbs.twimg.com/profile_images/574400990729781248/3vHv02f8.jpeg","View")</f>
        <v>View</v>
      </c>
    </row>
    <row r="2064" spans="1:21" ht="71.400000000000006">
      <c r="A2064" s="6">
        <v>43440.916168981479</v>
      </c>
      <c r="B2064" s="7" t="str">
        <f>HYPERLINK("https://twitter.com/JMancha64","@JMancha64")</f>
        <v>@JMancha64</v>
      </c>
      <c r="C2064" s="8" t="s">
        <v>7237</v>
      </c>
      <c r="D2064" s="9" t="s">
        <v>7238</v>
      </c>
      <c r="E2064" s="10" t="str">
        <f>HYPERLINK("https://twitter.com/JMancha64/status/1070784766717423616","1070784766717423616")</f>
        <v>1070784766717423616</v>
      </c>
      <c r="F2064" s="12" t="s">
        <v>7239</v>
      </c>
      <c r="G2064" s="11"/>
      <c r="H2064" s="11"/>
      <c r="I2064" s="13">
        <v>0</v>
      </c>
      <c r="J2064" s="13">
        <v>1</v>
      </c>
      <c r="K2064" s="14" t="str">
        <f t="shared" si="351"/>
        <v>Twitter Web Client</v>
      </c>
      <c r="L2064" s="13">
        <v>302</v>
      </c>
      <c r="M2064" s="13">
        <v>365</v>
      </c>
      <c r="N2064" s="13">
        <v>1</v>
      </c>
      <c r="O2064" s="15"/>
      <c r="P2064" s="6">
        <v>41144.428252314814</v>
      </c>
      <c r="Q2064" s="18" t="s">
        <v>2835</v>
      </c>
      <c r="R2064" s="19" t="s">
        <v>7240</v>
      </c>
      <c r="S2064" s="11"/>
      <c r="T2064" s="11"/>
      <c r="U2064" s="10" t="str">
        <f>HYPERLINK("https://pbs.twimg.com/profile_images/1041585010959101952/UwLNrDaB.jpg","View")</f>
        <v>View</v>
      </c>
    </row>
    <row r="2065" spans="1:21" ht="20.399999999999999">
      <c r="A2065" s="6">
        <v>43440.91541666667</v>
      </c>
      <c r="B2065" s="7" t="str">
        <f>HYPERLINK("https://twitter.com/protoidea","@protoidea")</f>
        <v>@protoidea</v>
      </c>
      <c r="C2065" s="8" t="s">
        <v>7241</v>
      </c>
      <c r="D2065" s="9" t="s">
        <v>6481</v>
      </c>
      <c r="E2065" s="10" t="str">
        <f>HYPERLINK("https://twitter.com/protoidea/status/1070784495496953856","1070784495496953856")</f>
        <v>1070784495496953856</v>
      </c>
      <c r="F2065" s="12" t="s">
        <v>6482</v>
      </c>
      <c r="G2065" s="11"/>
      <c r="H2065" s="11"/>
      <c r="I2065" s="13">
        <v>0</v>
      </c>
      <c r="J2065" s="13">
        <v>0</v>
      </c>
      <c r="K2065" s="14" t="str">
        <f>HYPERLINK("https://www.google.com/","Google")</f>
        <v>Google</v>
      </c>
      <c r="L2065" s="13">
        <v>135</v>
      </c>
      <c r="M2065" s="13">
        <v>191</v>
      </c>
      <c r="N2065" s="13">
        <v>1</v>
      </c>
      <c r="O2065" s="15"/>
      <c r="P2065" s="6">
        <v>41209.140509259261</v>
      </c>
      <c r="Q2065" s="18" t="s">
        <v>100</v>
      </c>
      <c r="R2065" s="19" t="s">
        <v>7242</v>
      </c>
      <c r="S2065" s="11"/>
      <c r="T2065" s="11"/>
      <c r="U2065" s="10" t="str">
        <f>HYPERLINK("https://pbs.twimg.com/profile_images/1033545003212128256/BE8m7-NA.jpg","View")</f>
        <v>View</v>
      </c>
    </row>
    <row r="2066" spans="1:21" ht="20.399999999999999">
      <c r="A2066" s="6">
        <v>43440.915277777778</v>
      </c>
      <c r="B2066" s="7" t="str">
        <f>HYPERLINK("https://twitter.com/MDOLORESSNCHEZ","@MDOLORESSNCHEZ")</f>
        <v>@MDOLORESSNCHEZ</v>
      </c>
      <c r="C2066" s="8" t="s">
        <v>7243</v>
      </c>
      <c r="D2066" s="9" t="s">
        <v>5042</v>
      </c>
      <c r="E2066" s="10" t="str">
        <f>HYPERLINK("https://twitter.com/MDOLORESSNCHEZ/status/1070784442774552576","1070784442774552576")</f>
        <v>1070784442774552576</v>
      </c>
      <c r="F2066" s="12" t="s">
        <v>5043</v>
      </c>
      <c r="G2066" s="11"/>
      <c r="H2066" s="11"/>
      <c r="I2066" s="13">
        <v>0</v>
      </c>
      <c r="J2066" s="13">
        <v>0</v>
      </c>
      <c r="K2066" s="14" t="str">
        <f>HYPERLINK("http://twitter.com/download/android","Twitter for Android")</f>
        <v>Twitter for Android</v>
      </c>
      <c r="L2066" s="13">
        <v>1015</v>
      </c>
      <c r="M2066" s="13">
        <v>712</v>
      </c>
      <c r="N2066" s="13">
        <v>27</v>
      </c>
      <c r="O2066" s="15"/>
      <c r="P2066" s="6">
        <v>41256.509479166663</v>
      </c>
      <c r="Q2066" s="11"/>
      <c r="R2066" s="17"/>
      <c r="S2066" s="11"/>
      <c r="T2066" s="11"/>
      <c r="U2066" s="10" t="str">
        <f>HYPERLINK("https://pbs.twimg.com/profile_images/859419904981647360/yLCVmofU.jpg","View")</f>
        <v>View</v>
      </c>
    </row>
    <row r="2067" spans="1:21" ht="40.799999999999997">
      <c r="A2067" s="6">
        <v>43440.914768518516</v>
      </c>
      <c r="B2067" s="7" t="str">
        <f>HYPERLINK("https://twitter.com/VeoInfo_","@VeoInfo_")</f>
        <v>@VeoInfo_</v>
      </c>
      <c r="C2067" s="8" t="s">
        <v>7244</v>
      </c>
      <c r="D2067" s="9" t="s">
        <v>7245</v>
      </c>
      <c r="E2067" s="10" t="str">
        <f>HYPERLINK("https://twitter.com/VeoInfo_/status/1070784258208423937","1070784258208423937")</f>
        <v>1070784258208423937</v>
      </c>
      <c r="F2067" s="18" t="s">
        <v>7246</v>
      </c>
      <c r="G2067" s="11"/>
      <c r="H2067" s="11"/>
      <c r="I2067" s="13">
        <v>0</v>
      </c>
      <c r="J2067" s="13">
        <v>0</v>
      </c>
      <c r="K2067" s="14" t="str">
        <f>HYPERLINK("http://publicize.wp.com/","WordPress.com")</f>
        <v>WordPress.com</v>
      </c>
      <c r="L2067" s="13">
        <v>1135</v>
      </c>
      <c r="M2067" s="13">
        <v>1139</v>
      </c>
      <c r="N2067" s="13">
        <v>37</v>
      </c>
      <c r="O2067" s="15"/>
      <c r="P2067" s="6">
        <v>41881.101840277777</v>
      </c>
      <c r="Q2067" s="18" t="s">
        <v>809</v>
      </c>
      <c r="R2067" s="19" t="s">
        <v>7247</v>
      </c>
      <c r="S2067" s="12" t="s">
        <v>7248</v>
      </c>
      <c r="T2067" s="11"/>
      <c r="U2067" s="10" t="str">
        <f>HYPERLINK("https://pbs.twimg.com/profile_images/601509372305485827/Val0dfGy.png","View")</f>
        <v>View</v>
      </c>
    </row>
    <row r="2068" spans="1:21" ht="40.799999999999997">
      <c r="A2068" s="6">
        <v>43440.914710648147</v>
      </c>
      <c r="B2068" s="7" t="str">
        <f>HYPERLINK("https://twitter.com/LuiSecoLucena","@LuiSecoLucena")</f>
        <v>@LuiSecoLucena</v>
      </c>
      <c r="C2068" s="8" t="s">
        <v>4064</v>
      </c>
      <c r="D2068" s="9" t="s">
        <v>4065</v>
      </c>
      <c r="E2068" s="10" t="str">
        <f>HYPERLINK("https://twitter.com/LuiSecoLucena/status/1070784238658744322","1070784238658744322")</f>
        <v>1070784238658744322</v>
      </c>
      <c r="F2068" s="11"/>
      <c r="G2068" s="12" t="s">
        <v>4066</v>
      </c>
      <c r="H2068" s="11"/>
      <c r="I2068" s="13">
        <v>0</v>
      </c>
      <c r="J2068" s="13">
        <v>0</v>
      </c>
      <c r="K2068" s="14" t="str">
        <f t="shared" ref="K2068:K2070" si="352">HYPERLINK("http://twitter.com/download/android","Twitter for Android")</f>
        <v>Twitter for Android</v>
      </c>
      <c r="L2068" s="13">
        <v>169</v>
      </c>
      <c r="M2068" s="13">
        <v>378</v>
      </c>
      <c r="N2068" s="13">
        <v>4</v>
      </c>
      <c r="O2068" s="15"/>
      <c r="P2068" s="6">
        <v>40896.854803240742</v>
      </c>
      <c r="Q2068" s="18" t="s">
        <v>1715</v>
      </c>
      <c r="R2068" s="19" t="s">
        <v>4067</v>
      </c>
      <c r="S2068" s="11"/>
      <c r="T2068" s="11"/>
      <c r="U2068" s="10" t="str">
        <f>HYPERLINK("https://pbs.twimg.com/profile_images/992870447703384064/ABmzbc78.jpg","View")</f>
        <v>View</v>
      </c>
    </row>
    <row r="2069" spans="1:21" ht="30.6">
      <c r="A2069" s="6">
        <v>43440.914618055554</v>
      </c>
      <c r="B2069" s="7" t="str">
        <f>HYPERLINK("https://twitter.com/EstrellaMonge1","@EstrellaMonge1")</f>
        <v>@EstrellaMonge1</v>
      </c>
      <c r="C2069" s="8" t="s">
        <v>2128</v>
      </c>
      <c r="D2069" s="9" t="s">
        <v>7249</v>
      </c>
      <c r="E2069" s="10" t="str">
        <f>HYPERLINK("https://twitter.com/EstrellaMonge1/status/1070784206484267013","1070784206484267013")</f>
        <v>1070784206484267013</v>
      </c>
      <c r="F2069" s="12" t="s">
        <v>7250</v>
      </c>
      <c r="G2069" s="11"/>
      <c r="H2069" s="11"/>
      <c r="I2069" s="13">
        <v>0</v>
      </c>
      <c r="J2069" s="13">
        <v>0</v>
      </c>
      <c r="K2069" s="14" t="str">
        <f t="shared" si="352"/>
        <v>Twitter for Android</v>
      </c>
      <c r="L2069" s="13">
        <v>1904</v>
      </c>
      <c r="M2069" s="13">
        <v>4998</v>
      </c>
      <c r="N2069" s="13">
        <v>111</v>
      </c>
      <c r="O2069" s="15"/>
      <c r="P2069" s="6">
        <v>40911.708993055552</v>
      </c>
      <c r="Q2069" s="18" t="s">
        <v>42</v>
      </c>
      <c r="R2069" s="19" t="s">
        <v>2134</v>
      </c>
      <c r="S2069" s="11"/>
      <c r="T2069" s="11"/>
      <c r="U2069" s="10" t="str">
        <f>HYPERLINK("https://pbs.twimg.com/profile_images/1062093513159049216/mAkXXRvX.jpg","View")</f>
        <v>View</v>
      </c>
    </row>
    <row r="2070" spans="1:21" ht="40.799999999999997">
      <c r="A2070" s="6">
        <v>43440.91407407407</v>
      </c>
      <c r="B2070" s="7" t="str">
        <f>HYPERLINK("https://twitter.com/RGALorca","@RGALorca")</f>
        <v>@RGALorca</v>
      </c>
      <c r="C2070" s="8" t="s">
        <v>4068</v>
      </c>
      <c r="D2070" s="9" t="s">
        <v>4070</v>
      </c>
      <c r="E2070" s="10" t="str">
        <f>HYPERLINK("https://twitter.com/RGALorca/status/1070784009981059072","1070784009981059072")</f>
        <v>1070784009981059072</v>
      </c>
      <c r="F2070" s="11"/>
      <c r="G2070" s="11"/>
      <c r="H2070" s="11"/>
      <c r="I2070" s="13">
        <v>0</v>
      </c>
      <c r="J2070" s="13">
        <v>1</v>
      </c>
      <c r="K2070" s="14" t="str">
        <f t="shared" si="352"/>
        <v>Twitter for Android</v>
      </c>
      <c r="L2070" s="13">
        <v>613</v>
      </c>
      <c r="M2070" s="13">
        <v>719</v>
      </c>
      <c r="N2070" s="13">
        <v>21</v>
      </c>
      <c r="O2070" s="15"/>
      <c r="P2070" s="6">
        <v>41341.795300925922</v>
      </c>
      <c r="Q2070" s="18" t="s">
        <v>1682</v>
      </c>
      <c r="R2070" s="19" t="s">
        <v>4075</v>
      </c>
      <c r="S2070" s="11"/>
      <c r="T2070" s="11"/>
      <c r="U2070" s="10" t="str">
        <f>HYPERLINK("https://pbs.twimg.com/profile_images/1051590650225979392/Sxsy7_T6.jpg","View")</f>
        <v>View</v>
      </c>
    </row>
    <row r="2071" spans="1:21" ht="30.6">
      <c r="A2071" s="6">
        <v>43440.913576388892</v>
      </c>
      <c r="B2071" s="7" t="str">
        <f>HYPERLINK("https://twitter.com/infiltradoxxx","@infiltradoxxx")</f>
        <v>@infiltradoxxx</v>
      </c>
      <c r="C2071" s="8" t="s">
        <v>7251</v>
      </c>
      <c r="D2071" s="9" t="s">
        <v>6839</v>
      </c>
      <c r="E2071" s="10" t="str">
        <f>HYPERLINK("https://twitter.com/infiltradoxxx/status/1070783826413129729","1070783826413129729")</f>
        <v>1070783826413129729</v>
      </c>
      <c r="F2071" s="11"/>
      <c r="G2071" s="11"/>
      <c r="H2071" s="11"/>
      <c r="I2071" s="13">
        <v>4672</v>
      </c>
      <c r="J2071" s="13">
        <v>7811</v>
      </c>
      <c r="K2071" s="14" t="str">
        <f t="shared" ref="K2071:K2072" si="353">HYPERLINK("http://twitter.com/download/iphone","Twitter for iPhone")</f>
        <v>Twitter for iPhone</v>
      </c>
      <c r="L2071" s="13">
        <v>4569</v>
      </c>
      <c r="M2071" s="13">
        <v>2107</v>
      </c>
      <c r="N2071" s="13">
        <v>34</v>
      </c>
      <c r="O2071" s="15"/>
      <c r="P2071" s="6">
        <v>42799.822534722218</v>
      </c>
      <c r="Q2071" s="18" t="s">
        <v>42</v>
      </c>
      <c r="R2071" s="19" t="s">
        <v>7252</v>
      </c>
      <c r="S2071" s="11"/>
      <c r="T2071" s="11"/>
      <c r="U2071" s="10" t="str">
        <f>HYPERLINK("https://pbs.twimg.com/profile_images/1037330719490617346/CDF-QBLs.jpg","View")</f>
        <v>View</v>
      </c>
    </row>
    <row r="2072" spans="1:21" ht="40.799999999999997">
      <c r="A2072" s="6">
        <v>43440.912986111114</v>
      </c>
      <c r="B2072" s="7" t="str">
        <f>HYPERLINK("https://twitter.com/hidergina","@hidergina")</f>
        <v>@hidergina</v>
      </c>
      <c r="C2072" s="8" t="s">
        <v>4076</v>
      </c>
      <c r="D2072" s="9" t="s">
        <v>4077</v>
      </c>
      <c r="E2072" s="10" t="str">
        <f>HYPERLINK("https://twitter.com/hidergina/status/1070783613896151040","1070783613896151040")</f>
        <v>1070783613896151040</v>
      </c>
      <c r="F2072" s="11"/>
      <c r="G2072" s="11"/>
      <c r="H2072" s="11"/>
      <c r="I2072" s="13">
        <v>0</v>
      </c>
      <c r="J2072" s="13">
        <v>0</v>
      </c>
      <c r="K2072" s="14" t="str">
        <f t="shared" si="353"/>
        <v>Twitter for iPhone</v>
      </c>
      <c r="L2072" s="13">
        <v>411</v>
      </c>
      <c r="M2072" s="13">
        <v>215</v>
      </c>
      <c r="N2072" s="13">
        <v>6</v>
      </c>
      <c r="O2072" s="15"/>
      <c r="P2072" s="6">
        <v>40610.827361111107</v>
      </c>
      <c r="Q2072" s="11"/>
      <c r="R2072" s="19" t="s">
        <v>4078</v>
      </c>
      <c r="S2072" s="11"/>
      <c r="T2072" s="11"/>
      <c r="U2072" s="10" t="str">
        <f>HYPERLINK("https://pbs.twimg.com/profile_images/1069497191990001664/0PjfQdkU.jpg","View")</f>
        <v>View</v>
      </c>
    </row>
    <row r="2073" spans="1:21" ht="51">
      <c r="A2073" s="6">
        <v>43440.912974537037</v>
      </c>
      <c r="B2073" s="7" t="str">
        <f>HYPERLINK("https://twitter.com/catachoquera","@catachoquera")</f>
        <v>@catachoquera</v>
      </c>
      <c r="C2073" s="8" t="s">
        <v>2476</v>
      </c>
      <c r="D2073" s="9" t="s">
        <v>7253</v>
      </c>
      <c r="E2073" s="10" t="str">
        <f>HYPERLINK("https://twitter.com/catachoquera/status/1070783608875560962","1070783608875560962")</f>
        <v>1070783608875560962</v>
      </c>
      <c r="F2073" s="12" t="s">
        <v>7254</v>
      </c>
      <c r="G2073" s="11"/>
      <c r="H2073" s="11"/>
      <c r="I2073" s="13">
        <v>0</v>
      </c>
      <c r="J2073" s="13">
        <v>1</v>
      </c>
      <c r="K2073" s="14" t="str">
        <f>HYPERLINK("http://www.facebook.com/twitter","Facebook")</f>
        <v>Facebook</v>
      </c>
      <c r="L2073" s="13">
        <v>411</v>
      </c>
      <c r="M2073" s="13">
        <v>612</v>
      </c>
      <c r="N2073" s="13">
        <v>1</v>
      </c>
      <c r="O2073" s="15"/>
      <c r="P2073" s="6">
        <v>40854.642916666664</v>
      </c>
      <c r="Q2073" s="18" t="s">
        <v>2480</v>
      </c>
      <c r="R2073" s="19" t="s">
        <v>2481</v>
      </c>
      <c r="S2073" s="11"/>
      <c r="T2073" s="11"/>
      <c r="U2073" s="10" t="str">
        <f>HYPERLINK("https://pbs.twimg.com/profile_images/1059884928769449985/rXvW8N5D.jpg","View")</f>
        <v>View</v>
      </c>
    </row>
    <row r="2074" spans="1:21" ht="40.799999999999997">
      <c r="A2074" s="6">
        <v>43440.912534722222</v>
      </c>
      <c r="B2074" s="7" t="str">
        <f>HYPERLINK("https://twitter.com/RodrigoPerezDeG","@RodrigoPerezDeG")</f>
        <v>@RodrigoPerezDeG</v>
      </c>
      <c r="C2074" s="8" t="s">
        <v>4082</v>
      </c>
      <c r="D2074" s="9" t="s">
        <v>4084</v>
      </c>
      <c r="E2074" s="10" t="str">
        <f>HYPERLINK("https://twitter.com/RodrigoPerezDeG/status/1070783449328484352","1070783449328484352")</f>
        <v>1070783449328484352</v>
      </c>
      <c r="F2074" s="18" t="s">
        <v>4085</v>
      </c>
      <c r="G2074" s="11"/>
      <c r="H2074" s="11"/>
      <c r="I2074" s="13">
        <v>0</v>
      </c>
      <c r="J2074" s="13">
        <v>1</v>
      </c>
      <c r="K2074" s="14" t="str">
        <f t="shared" ref="K2074:K2075" si="354">HYPERLINK("http://twitter.com/download/android","Twitter for Android")</f>
        <v>Twitter for Android</v>
      </c>
      <c r="L2074" s="13">
        <v>681</v>
      </c>
      <c r="M2074" s="13">
        <v>727</v>
      </c>
      <c r="N2074" s="13">
        <v>0</v>
      </c>
      <c r="O2074" s="15"/>
      <c r="P2074" s="6">
        <v>43355.845358796301</v>
      </c>
      <c r="Q2074" s="18" t="s">
        <v>4087</v>
      </c>
      <c r="R2074" s="19" t="s">
        <v>4089</v>
      </c>
      <c r="S2074" s="12" t="s">
        <v>4090</v>
      </c>
      <c r="T2074" s="11"/>
      <c r="U2074" s="10" t="str">
        <f>HYPERLINK("https://pbs.twimg.com/profile_images/1044473020432175104/WhRCDKJS.jpg","View")</f>
        <v>View</v>
      </c>
    </row>
    <row r="2075" spans="1:21" ht="91.8">
      <c r="A2075" s="6">
        <v>43440.912442129629</v>
      </c>
      <c r="B2075" s="7" t="str">
        <f>HYPERLINK("https://twitter.com/nikmaino","@nikmaino")</f>
        <v>@nikmaino</v>
      </c>
      <c r="C2075" s="8" t="s">
        <v>4091</v>
      </c>
      <c r="D2075" s="9" t="s">
        <v>4092</v>
      </c>
      <c r="E2075" s="10" t="str">
        <f>HYPERLINK("https://twitter.com/nikmaino/status/1070783417929867275","1070783417929867275")</f>
        <v>1070783417929867275</v>
      </c>
      <c r="F2075" s="12" t="s">
        <v>3074</v>
      </c>
      <c r="G2075" s="12" t="s">
        <v>3075</v>
      </c>
      <c r="H2075" s="11"/>
      <c r="I2075" s="13">
        <v>0</v>
      </c>
      <c r="J2075" s="13">
        <v>0</v>
      </c>
      <c r="K2075" s="14" t="str">
        <f t="shared" si="354"/>
        <v>Twitter for Android</v>
      </c>
      <c r="L2075" s="13">
        <v>375</v>
      </c>
      <c r="M2075" s="13">
        <v>1061</v>
      </c>
      <c r="N2075" s="13">
        <v>4</v>
      </c>
      <c r="O2075" s="15"/>
      <c r="P2075" s="6">
        <v>40838.453344907408</v>
      </c>
      <c r="Q2075" s="18" t="s">
        <v>1430</v>
      </c>
      <c r="R2075" s="19" t="s">
        <v>4095</v>
      </c>
      <c r="S2075" s="11"/>
      <c r="T2075" s="11"/>
      <c r="U2075" s="10" t="str">
        <f>HYPERLINK("https://pbs.twimg.com/profile_images/1049250557079298048/UxeJO3Y5.jpg","View")</f>
        <v>View</v>
      </c>
    </row>
    <row r="2076" spans="1:21" ht="13.2">
      <c r="A2076" s="6">
        <v>43440.912326388891</v>
      </c>
      <c r="B2076" s="7" t="str">
        <f>HYPERLINK("https://twitter.com/aramalo28","@aramalo28")</f>
        <v>@aramalo28</v>
      </c>
      <c r="C2076" s="8" t="s">
        <v>4097</v>
      </c>
      <c r="D2076" s="9" t="s">
        <v>4098</v>
      </c>
      <c r="E2076" s="10" t="str">
        <f>HYPERLINK("https://twitter.com/aramalo28/status/1070783374523023360","1070783374523023360")</f>
        <v>1070783374523023360</v>
      </c>
      <c r="F2076" s="11"/>
      <c r="G2076" s="12" t="s">
        <v>4100</v>
      </c>
      <c r="H2076" s="11"/>
      <c r="I2076" s="13">
        <v>0</v>
      </c>
      <c r="J2076" s="13">
        <v>0</v>
      </c>
      <c r="K2076" s="14" t="str">
        <f>HYPERLINK("http://twitter.com/download/iphone","Twitter for iPhone")</f>
        <v>Twitter for iPhone</v>
      </c>
      <c r="L2076" s="13">
        <v>80</v>
      </c>
      <c r="M2076" s="13">
        <v>313</v>
      </c>
      <c r="N2076" s="13">
        <v>0</v>
      </c>
      <c r="O2076" s="15"/>
      <c r="P2076" s="6">
        <v>40694.810937499999</v>
      </c>
      <c r="Q2076" s="11"/>
      <c r="R2076" s="17"/>
      <c r="S2076" s="11"/>
      <c r="T2076" s="11"/>
      <c r="U2076" s="10" t="str">
        <f>HYPERLINK("https://pbs.twimg.com/profile_images/987441866034565123/SZ-97fYQ.jpg","View")</f>
        <v>View</v>
      </c>
    </row>
    <row r="2077" spans="1:21" ht="20.399999999999999">
      <c r="A2077" s="6">
        <v>43440.912152777775</v>
      </c>
      <c r="B2077" s="7" t="str">
        <f>HYPERLINK("https://twitter.com/Stampy63","@Stampy63")</f>
        <v>@Stampy63</v>
      </c>
      <c r="C2077" s="8" t="s">
        <v>4102</v>
      </c>
      <c r="D2077" s="9" t="s">
        <v>4103</v>
      </c>
      <c r="E2077" s="10" t="str">
        <f>HYPERLINK("https://twitter.com/Stampy63/status/1070783314322251779","1070783314322251779")</f>
        <v>1070783314322251779</v>
      </c>
      <c r="F2077" s="11"/>
      <c r="G2077" s="11"/>
      <c r="H2077" s="11"/>
      <c r="I2077" s="13">
        <v>0</v>
      </c>
      <c r="J2077" s="13">
        <v>0</v>
      </c>
      <c r="K2077" s="14" t="str">
        <f>HYPERLINK("https://mobile.twitter.com","Twitter Lite")</f>
        <v>Twitter Lite</v>
      </c>
      <c r="L2077" s="13">
        <v>181</v>
      </c>
      <c r="M2077" s="13">
        <v>231</v>
      </c>
      <c r="N2077" s="13">
        <v>1</v>
      </c>
      <c r="O2077" s="15"/>
      <c r="P2077" s="6">
        <v>41034.546550925923</v>
      </c>
      <c r="Q2077" s="11"/>
      <c r="R2077" s="19" t="s">
        <v>4104</v>
      </c>
      <c r="S2077" s="11"/>
      <c r="T2077" s="11"/>
      <c r="U2077" s="10" t="str">
        <f>HYPERLINK("https://pbs.twimg.com/profile_images/954783102395658242/B8JzGgkp.jpg","View")</f>
        <v>View</v>
      </c>
    </row>
    <row r="2078" spans="1:21" ht="40.799999999999997">
      <c r="A2078" s="6">
        <v>43440.912094907406</v>
      </c>
      <c r="B2078" s="7" t="str">
        <f>HYPERLINK("https://twitter.com/qqqqetru","@qqqqetru")</f>
        <v>@qqqqetru</v>
      </c>
      <c r="C2078" s="8" t="s">
        <v>127</v>
      </c>
      <c r="D2078" s="9" t="s">
        <v>7255</v>
      </c>
      <c r="E2078" s="10" t="str">
        <f>HYPERLINK("https://twitter.com/qqqqetru/status/1070783290276237312","1070783290276237312")</f>
        <v>1070783290276237312</v>
      </c>
      <c r="F2078" s="12" t="s">
        <v>7256</v>
      </c>
      <c r="G2078" s="12" t="s">
        <v>7257</v>
      </c>
      <c r="H2078" s="11"/>
      <c r="I2078" s="13">
        <v>1</v>
      </c>
      <c r="J2078" s="13">
        <v>1</v>
      </c>
      <c r="K2078" s="14" t="str">
        <f t="shared" ref="K2078:K2079" si="355">HYPERLINK("http://twitter.com/download/android","Twitter for Android")</f>
        <v>Twitter for Android</v>
      </c>
      <c r="L2078" s="13">
        <v>649</v>
      </c>
      <c r="M2078" s="13">
        <v>1194</v>
      </c>
      <c r="N2078" s="13">
        <v>2</v>
      </c>
      <c r="O2078" s="15"/>
      <c r="P2078" s="6">
        <v>40749.437719907408</v>
      </c>
      <c r="Q2078" s="11"/>
      <c r="R2078" s="17"/>
      <c r="S2078" s="11"/>
      <c r="T2078" s="11"/>
      <c r="U2078" s="10" t="str">
        <f>HYPERLINK("https://pbs.twimg.com/profile_images/1069734331780870144/d_KYpBFy.jpg","View")</f>
        <v>View</v>
      </c>
    </row>
    <row r="2079" spans="1:21" ht="30.6">
      <c r="A2079" s="6">
        <v>43440.91206018519</v>
      </c>
      <c r="B2079" s="7" t="str">
        <f>HYPERLINK("https://twitter.com/EmVidalH","@EmVidalH")</f>
        <v>@EmVidalH</v>
      </c>
      <c r="C2079" s="8" t="s">
        <v>4107</v>
      </c>
      <c r="D2079" s="9" t="s">
        <v>4108</v>
      </c>
      <c r="E2079" s="10" t="str">
        <f>HYPERLINK("https://twitter.com/EmVidalH/status/1070783278624448513","1070783278624448513")</f>
        <v>1070783278624448513</v>
      </c>
      <c r="F2079" s="11"/>
      <c r="G2079" s="12" t="s">
        <v>4109</v>
      </c>
      <c r="H2079" s="11"/>
      <c r="I2079" s="13">
        <v>22</v>
      </c>
      <c r="J2079" s="13">
        <v>23</v>
      </c>
      <c r="K2079" s="14" t="str">
        <f t="shared" si="355"/>
        <v>Twitter for Android</v>
      </c>
      <c r="L2079" s="13">
        <v>936</v>
      </c>
      <c r="M2079" s="13">
        <v>1109</v>
      </c>
      <c r="N2079" s="13">
        <v>3</v>
      </c>
      <c r="O2079" s="15"/>
      <c r="P2079" s="6">
        <v>43122.890625</v>
      </c>
      <c r="Q2079" s="18" t="s">
        <v>1312</v>
      </c>
      <c r="R2079" s="19" t="s">
        <v>4111</v>
      </c>
      <c r="S2079" s="11"/>
      <c r="T2079" s="11"/>
      <c r="U2079" s="10" t="str">
        <f>HYPERLINK("https://pbs.twimg.com/profile_images/1050768131155738625/VS1OLzQu.jpg","View")</f>
        <v>View</v>
      </c>
    </row>
    <row r="2080" spans="1:21" ht="20.399999999999999">
      <c r="A2080" s="6">
        <v>43440.911493055552</v>
      </c>
      <c r="B2080" s="7" t="str">
        <f>HYPERLINK("https://twitter.com/sumariumcom","@sumariumcom")</f>
        <v>@sumariumcom</v>
      </c>
      <c r="C2080" s="8" t="s">
        <v>4153</v>
      </c>
      <c r="D2080" s="9" t="s">
        <v>6640</v>
      </c>
      <c r="E2080" s="10" t="str">
        <f>HYPERLINK("https://twitter.com/sumariumcom/status/1070783074001149953","1070783074001149953")</f>
        <v>1070783074001149953</v>
      </c>
      <c r="F2080" s="12" t="s">
        <v>6641</v>
      </c>
      <c r="G2080" s="12" t="s">
        <v>4157</v>
      </c>
      <c r="H2080" s="11"/>
      <c r="I2080" s="13">
        <v>0</v>
      </c>
      <c r="J2080" s="13">
        <v>0</v>
      </c>
      <c r="K2080" s="14" t="str">
        <f>HYPERLINK("https://about.twitter.com/products/tweetdeck","TweetDeck")</f>
        <v>TweetDeck</v>
      </c>
      <c r="L2080" s="13">
        <v>164401</v>
      </c>
      <c r="M2080" s="13">
        <v>996</v>
      </c>
      <c r="N2080" s="13">
        <v>1122</v>
      </c>
      <c r="O2080" s="15"/>
      <c r="P2080" s="6">
        <v>40977.809594907405</v>
      </c>
      <c r="Q2080" s="18" t="s">
        <v>4159</v>
      </c>
      <c r="R2080" s="17"/>
      <c r="S2080" s="12" t="s">
        <v>4160</v>
      </c>
      <c r="T2080" s="11"/>
      <c r="U2080" s="10" t="str">
        <f>HYPERLINK("https://pbs.twimg.com/profile_images/1061987847874469888/mok5IDTt.jpg","View")</f>
        <v>View</v>
      </c>
    </row>
    <row r="2081" spans="1:21" ht="40.799999999999997">
      <c r="A2081" s="6">
        <v>43440.910868055551</v>
      </c>
      <c r="B2081" s="7" t="str">
        <f>HYPERLINK("https://twitter.com/Mickey1234Mouse","@Mickey1234Mouse")</f>
        <v>@Mickey1234Mouse</v>
      </c>
      <c r="C2081" s="8" t="s">
        <v>2424</v>
      </c>
      <c r="D2081" s="9" t="s">
        <v>4113</v>
      </c>
      <c r="E2081" s="10" t="str">
        <f>HYPERLINK("https://twitter.com/Mickey1234Mouse/status/1070782848192471040","1070782848192471040")</f>
        <v>1070782848192471040</v>
      </c>
      <c r="F2081" s="12" t="s">
        <v>4115</v>
      </c>
      <c r="G2081" s="11"/>
      <c r="H2081" s="11"/>
      <c r="I2081" s="13">
        <v>5</v>
      </c>
      <c r="J2081" s="13">
        <v>10</v>
      </c>
      <c r="K2081" s="14" t="str">
        <f>HYPERLINK("http://twitter.com/#!/download/ipad","Twitter for iPad")</f>
        <v>Twitter for iPad</v>
      </c>
      <c r="L2081" s="13">
        <v>168</v>
      </c>
      <c r="M2081" s="13">
        <v>738</v>
      </c>
      <c r="N2081" s="13">
        <v>0</v>
      </c>
      <c r="O2081" s="15"/>
      <c r="P2081" s="6">
        <v>42559.543807870374</v>
      </c>
      <c r="Q2081" s="18" t="s">
        <v>2426</v>
      </c>
      <c r="R2081" s="19" t="s">
        <v>2427</v>
      </c>
      <c r="S2081" s="11"/>
      <c r="T2081" s="11"/>
      <c r="U2081" s="10" t="str">
        <f>HYPERLINK("https://pbs.twimg.com/profile_images/924439030909030401/cGCy7v2u.jpg","View")</f>
        <v>View</v>
      </c>
    </row>
    <row r="2082" spans="1:21" ht="40.799999999999997">
      <c r="A2082" s="6">
        <v>43440.910694444443</v>
      </c>
      <c r="B2082" s="7" t="str">
        <f>HYPERLINK("https://twitter.com/ebola_espana","@ebola_espana")</f>
        <v>@ebola_espana</v>
      </c>
      <c r="C2082" s="8" t="s">
        <v>4117</v>
      </c>
      <c r="D2082" s="9" t="s">
        <v>4118</v>
      </c>
      <c r="E2082" s="10" t="str">
        <f>HYPERLINK("https://twitter.com/ebola_espana/status/1070782781947551749","1070782781947551749")</f>
        <v>1070782781947551749</v>
      </c>
      <c r="F2082" s="11"/>
      <c r="G2082" s="11"/>
      <c r="H2082" s="11"/>
      <c r="I2082" s="13">
        <v>0</v>
      </c>
      <c r="J2082" s="13">
        <v>0</v>
      </c>
      <c r="K2082" s="14" t="str">
        <f>HYPERLINK("http://twitter.com/download/android","Twitter for Android")</f>
        <v>Twitter for Android</v>
      </c>
      <c r="L2082" s="13">
        <v>20</v>
      </c>
      <c r="M2082" s="13">
        <v>15</v>
      </c>
      <c r="N2082" s="13">
        <v>1</v>
      </c>
      <c r="O2082" s="15"/>
      <c r="P2082" s="6">
        <v>41920.987442129626</v>
      </c>
      <c r="Q2082" s="11"/>
      <c r="R2082" s="19" t="s">
        <v>4121</v>
      </c>
      <c r="S2082" s="11"/>
      <c r="T2082" s="11"/>
      <c r="U2082" s="10" t="str">
        <f>HYPERLINK("https://pbs.twimg.com/profile_images/814071313430093826/zHuihXZP.jpg","View")</f>
        <v>View</v>
      </c>
    </row>
    <row r="2083" spans="1:21" ht="40.799999999999997">
      <c r="A2083" s="6">
        <v>43440.910497685181</v>
      </c>
      <c r="B2083" s="7" t="str">
        <f>HYPERLINK("https://twitter.com/rss_noticias","@rss_noticias")</f>
        <v>@rss_noticias</v>
      </c>
      <c r="C2083" s="8" t="s">
        <v>7258</v>
      </c>
      <c r="D2083" s="9" t="s">
        <v>7259</v>
      </c>
      <c r="E2083" s="10" t="str">
        <f>HYPERLINK("https://twitter.com/rss_noticias/status/1070782714335371269","1070782714335371269")</f>
        <v>1070782714335371269</v>
      </c>
      <c r="F2083" s="12" t="s">
        <v>7260</v>
      </c>
      <c r="G2083" s="11"/>
      <c r="H2083" s="11"/>
      <c r="I2083" s="13">
        <v>0</v>
      </c>
      <c r="J2083" s="13">
        <v>0</v>
      </c>
      <c r="K2083" s="14" t="str">
        <f>HYPERLINK("https://ifttt.com","IFTTT")</f>
        <v>IFTTT</v>
      </c>
      <c r="L2083" s="13">
        <v>453</v>
      </c>
      <c r="M2083" s="13">
        <v>1</v>
      </c>
      <c r="N2083" s="13">
        <v>7</v>
      </c>
      <c r="O2083" s="15"/>
      <c r="P2083" s="6">
        <v>43425.916296296295</v>
      </c>
      <c r="Q2083" s="18" t="s">
        <v>7261</v>
      </c>
      <c r="R2083" s="19" t="s">
        <v>7262</v>
      </c>
      <c r="S2083" s="11"/>
      <c r="T2083" s="11"/>
      <c r="U2083" s="10" t="str">
        <f>HYPERLINK("https://pbs.twimg.com/profile_images/1065358148377153542/OtJ5HtwI.jpg","View")</f>
        <v>View</v>
      </c>
    </row>
    <row r="2084" spans="1:21" ht="51">
      <c r="A2084" s="6">
        <v>43440.910381944443</v>
      </c>
      <c r="B2084" s="7" t="str">
        <f>HYPERLINK("https://twitter.com/enrilink","@enrilink")</f>
        <v>@enrilink</v>
      </c>
      <c r="C2084" s="8" t="s">
        <v>2191</v>
      </c>
      <c r="D2084" s="9" t="s">
        <v>4122</v>
      </c>
      <c r="E2084" s="10" t="str">
        <f>HYPERLINK("https://twitter.com/enrilink/status/1070782671440228352","1070782671440228352")</f>
        <v>1070782671440228352</v>
      </c>
      <c r="F2084" s="12" t="s">
        <v>4123</v>
      </c>
      <c r="G2084" s="11"/>
      <c r="H2084" s="11"/>
      <c r="I2084" s="13">
        <v>12</v>
      </c>
      <c r="J2084" s="13">
        <v>11</v>
      </c>
      <c r="K2084" s="14" t="str">
        <f>HYPERLINK("http://twitter.com/download/android","Twitter for Android")</f>
        <v>Twitter for Android</v>
      </c>
      <c r="L2084" s="13">
        <v>18208</v>
      </c>
      <c r="M2084" s="13">
        <v>19618</v>
      </c>
      <c r="N2084" s="13">
        <v>93</v>
      </c>
      <c r="O2084" s="15"/>
      <c r="P2084" s="6">
        <v>40683.522314814814</v>
      </c>
      <c r="Q2084" s="18" t="s">
        <v>114</v>
      </c>
      <c r="R2084" s="19" t="s">
        <v>2197</v>
      </c>
      <c r="S2084" s="12" t="s">
        <v>2198</v>
      </c>
      <c r="T2084" s="11"/>
      <c r="U2084" s="10" t="str">
        <f>HYPERLINK("https://pbs.twimg.com/profile_images/477717473270448128/FX5Dcya9.jpeg","View")</f>
        <v>View</v>
      </c>
    </row>
    <row r="2085" spans="1:21" ht="40.799999999999997">
      <c r="A2085" s="6">
        <v>43440.90934027778</v>
      </c>
      <c r="B2085" s="7" t="str">
        <f>HYPERLINK("https://twitter.com/marylouiseguia","@marylouiseguia")</f>
        <v>@marylouiseguia</v>
      </c>
      <c r="C2085" s="8" t="s">
        <v>7263</v>
      </c>
      <c r="D2085" s="9" t="s">
        <v>7264</v>
      </c>
      <c r="E2085" s="10" t="str">
        <f>HYPERLINK("https://twitter.com/marylouiseguia/status/1070782291918684160","1070782291918684160")</f>
        <v>1070782291918684160</v>
      </c>
      <c r="F2085" s="12" t="s">
        <v>1880</v>
      </c>
      <c r="G2085" s="11"/>
      <c r="H2085" s="11"/>
      <c r="I2085" s="13">
        <v>0</v>
      </c>
      <c r="J2085" s="13">
        <v>0</v>
      </c>
      <c r="K2085" s="14" t="str">
        <f t="shared" ref="K2085:K2086" si="356">HYPERLINK("http://twitter.com","Twitter Web Client")</f>
        <v>Twitter Web Client</v>
      </c>
      <c r="L2085" s="13">
        <v>32</v>
      </c>
      <c r="M2085" s="13">
        <v>162</v>
      </c>
      <c r="N2085" s="13">
        <v>0</v>
      </c>
      <c r="O2085" s="15"/>
      <c r="P2085" s="6">
        <v>40147.729988425926</v>
      </c>
      <c r="Q2085" s="18" t="s">
        <v>7265</v>
      </c>
      <c r="R2085" s="19" t="s">
        <v>7266</v>
      </c>
      <c r="S2085" s="11"/>
      <c r="T2085" s="11"/>
      <c r="U2085" s="10" t="str">
        <f>HYPERLINK("https://pbs.twimg.com/profile_images/551830987/maria1.jpg","View")</f>
        <v>View</v>
      </c>
    </row>
    <row r="2086" spans="1:21" ht="30.6">
      <c r="A2086" s="6">
        <v>43440.909166666665</v>
      </c>
      <c r="B2086" s="7" t="str">
        <f>HYPERLINK("https://twitter.com/NoPotemosNo","@NoPotemosNo")</f>
        <v>@NoPotemosNo</v>
      </c>
      <c r="C2086" s="8" t="s">
        <v>7207</v>
      </c>
      <c r="D2086" s="9" t="s">
        <v>7267</v>
      </c>
      <c r="E2086" s="10" t="str">
        <f>HYPERLINK("https://twitter.com/NoPotemosNo/status/1070782231654879239","1070782231654879239")</f>
        <v>1070782231654879239</v>
      </c>
      <c r="F2086" s="12" t="s">
        <v>7268</v>
      </c>
      <c r="G2086" s="11"/>
      <c r="H2086" s="11"/>
      <c r="I2086" s="13">
        <v>0</v>
      </c>
      <c r="J2086" s="13">
        <v>0</v>
      </c>
      <c r="K2086" s="14" t="str">
        <f t="shared" si="356"/>
        <v>Twitter Web Client</v>
      </c>
      <c r="L2086" s="13">
        <v>148</v>
      </c>
      <c r="M2086" s="13">
        <v>12</v>
      </c>
      <c r="N2086" s="13">
        <v>3</v>
      </c>
      <c r="O2086" s="15"/>
      <c r="P2086" s="6">
        <v>42853.515023148153</v>
      </c>
      <c r="Q2086" s="11"/>
      <c r="R2086" s="19" t="s">
        <v>7210</v>
      </c>
      <c r="S2086" s="11"/>
      <c r="T2086" s="11"/>
      <c r="U2086" s="10" t="str">
        <f>HYPERLINK("https://pbs.twimg.com/profile_images/857908903694262272/tXMyaWAJ.jpg","View")</f>
        <v>View</v>
      </c>
    </row>
    <row r="2087" spans="1:21" ht="51">
      <c r="A2087" s="6">
        <v>43440.909074074079</v>
      </c>
      <c r="B2087" s="7" t="str">
        <f>HYPERLINK("https://twitter.com/joseajaramago1","@joseajaramago1")</f>
        <v>@joseajaramago1</v>
      </c>
      <c r="C2087" s="8" t="s">
        <v>7269</v>
      </c>
      <c r="D2087" s="9" t="s">
        <v>7270</v>
      </c>
      <c r="E2087" s="10" t="str">
        <f>HYPERLINK("https://twitter.com/joseajaramago1/status/1070782194887593984","1070782194887593984")</f>
        <v>1070782194887593984</v>
      </c>
      <c r="F2087" s="18" t="s">
        <v>7271</v>
      </c>
      <c r="G2087" s="11"/>
      <c r="H2087" s="11"/>
      <c r="I2087" s="13">
        <v>1</v>
      </c>
      <c r="J2087" s="13">
        <v>1</v>
      </c>
      <c r="K2087" s="14" t="str">
        <f t="shared" ref="K2087:K2089" si="357">HYPERLINK("http://twitter.com/download/android","Twitter for Android")</f>
        <v>Twitter for Android</v>
      </c>
      <c r="L2087" s="13">
        <v>136</v>
      </c>
      <c r="M2087" s="13">
        <v>464</v>
      </c>
      <c r="N2087" s="13">
        <v>2</v>
      </c>
      <c r="O2087" s="15"/>
      <c r="P2087" s="6">
        <v>43396.675300925926</v>
      </c>
      <c r="Q2087" s="18" t="s">
        <v>260</v>
      </c>
      <c r="R2087" s="19" t="s">
        <v>7272</v>
      </c>
      <c r="S2087" s="11"/>
      <c r="T2087" s="11"/>
      <c r="U2087" s="10" t="str">
        <f>HYPERLINK("https://pbs.twimg.com/profile_images/1063058768789995522/hcrzqnif.jpg","View")</f>
        <v>View</v>
      </c>
    </row>
    <row r="2088" spans="1:21" ht="20.399999999999999">
      <c r="A2088" s="6">
        <v>43440.908831018518</v>
      </c>
      <c r="B2088" s="7" t="str">
        <f>HYPERLINK("https://twitter.com/Talaverano78","@Talaverano78")</f>
        <v>@Talaverano78</v>
      </c>
      <c r="C2088" s="8" t="s">
        <v>7273</v>
      </c>
      <c r="D2088" s="9" t="s">
        <v>7274</v>
      </c>
      <c r="E2088" s="10" t="str">
        <f>HYPERLINK("https://twitter.com/Talaverano78/status/1070782108044574720","1070782108044574720")</f>
        <v>1070782108044574720</v>
      </c>
      <c r="F2088" s="11"/>
      <c r="G2088" s="12" t="s">
        <v>7257</v>
      </c>
      <c r="H2088" s="11"/>
      <c r="I2088" s="13">
        <v>232</v>
      </c>
      <c r="J2088" s="13">
        <v>217</v>
      </c>
      <c r="K2088" s="14" t="str">
        <f t="shared" si="357"/>
        <v>Twitter for Android</v>
      </c>
      <c r="L2088" s="13">
        <v>14481</v>
      </c>
      <c r="M2088" s="13">
        <v>14536</v>
      </c>
      <c r="N2088" s="13">
        <v>45</v>
      </c>
      <c r="O2088" s="15"/>
      <c r="P2088" s="6">
        <v>41292.52715277778</v>
      </c>
      <c r="Q2088" s="18" t="s">
        <v>3715</v>
      </c>
      <c r="R2088" s="19" t="s">
        <v>7275</v>
      </c>
      <c r="S2088" s="11"/>
      <c r="T2088" s="11"/>
      <c r="U2088" s="10" t="str">
        <f>HYPERLINK("https://pbs.twimg.com/profile_images/957011405751898112/KXm0ELUV.jpg","View")</f>
        <v>View</v>
      </c>
    </row>
    <row r="2089" spans="1:21" ht="51">
      <c r="A2089" s="6">
        <v>43440.908738425926</v>
      </c>
      <c r="B2089" s="7" t="str">
        <f>HYPERLINK("https://twitter.com/TomasFe14020511","@TomasFe14020511")</f>
        <v>@TomasFe14020511</v>
      </c>
      <c r="C2089" s="8" t="s">
        <v>1372</v>
      </c>
      <c r="D2089" s="9" t="s">
        <v>4127</v>
      </c>
      <c r="E2089" s="10" t="str">
        <f>HYPERLINK("https://twitter.com/TomasFe14020511/status/1070782076897648642","1070782076897648642")</f>
        <v>1070782076897648642</v>
      </c>
      <c r="F2089" s="18" t="s">
        <v>4128</v>
      </c>
      <c r="G2089" s="11"/>
      <c r="H2089" s="11"/>
      <c r="I2089" s="13">
        <v>0</v>
      </c>
      <c r="J2089" s="13">
        <v>1</v>
      </c>
      <c r="K2089" s="14" t="str">
        <f t="shared" si="357"/>
        <v>Twitter for Android</v>
      </c>
      <c r="L2089" s="13">
        <v>1351</v>
      </c>
      <c r="M2089" s="13">
        <v>1344</v>
      </c>
      <c r="N2089" s="13">
        <v>5</v>
      </c>
      <c r="O2089" s="15"/>
      <c r="P2089" s="6">
        <v>43049.337407407409</v>
      </c>
      <c r="Q2089" s="18" t="s">
        <v>1379</v>
      </c>
      <c r="R2089" s="19" t="s">
        <v>1380</v>
      </c>
      <c r="S2089" s="11"/>
      <c r="T2089" s="11"/>
      <c r="U2089" s="10" t="str">
        <f>HYPERLINK("https://pbs.twimg.com/profile_images/991457940627447813/C8Mm4Yiy.jpg","View")</f>
        <v>View</v>
      </c>
    </row>
    <row r="2090" spans="1:21" ht="51">
      <c r="A2090" s="6">
        <v>43440.908391203702</v>
      </c>
      <c r="B2090" s="7" t="str">
        <f>HYPERLINK("https://twitter.com/heimdall3342","@heimdall3342")</f>
        <v>@heimdall3342</v>
      </c>
      <c r="C2090" s="8" t="s">
        <v>4133</v>
      </c>
      <c r="D2090" s="9" t="s">
        <v>4135</v>
      </c>
      <c r="E2090" s="10" t="str">
        <f>HYPERLINK("https://twitter.com/heimdall3342/status/1070781950661681152","1070781950661681152")</f>
        <v>1070781950661681152</v>
      </c>
      <c r="F2090" s="11"/>
      <c r="G2090" s="11"/>
      <c r="H2090" s="11"/>
      <c r="I2090" s="13">
        <v>1</v>
      </c>
      <c r="J2090" s="13">
        <v>0</v>
      </c>
      <c r="K2090" s="14" t="str">
        <f>HYPERLINK("http://twitter.com","Twitter Web Client")</f>
        <v>Twitter Web Client</v>
      </c>
      <c r="L2090" s="13">
        <v>194</v>
      </c>
      <c r="M2090" s="13">
        <v>193</v>
      </c>
      <c r="N2090" s="13">
        <v>0</v>
      </c>
      <c r="O2090" s="15"/>
      <c r="P2090" s="6">
        <v>41761.02715277778</v>
      </c>
      <c r="Q2090" s="18" t="s">
        <v>4137</v>
      </c>
      <c r="R2090" s="19" t="s">
        <v>4138</v>
      </c>
      <c r="S2090" s="11"/>
      <c r="T2090" s="11"/>
      <c r="U2090" s="10" t="str">
        <f>HYPERLINK("https://pbs.twimg.com/profile_images/1035987498663641091/IyVFyx8l.jpg","View")</f>
        <v>View</v>
      </c>
    </row>
    <row r="2091" spans="1:21" ht="91.8">
      <c r="A2091" s="6">
        <v>43440.908020833333</v>
      </c>
      <c r="B2091" s="7" t="str">
        <f>HYPERLINK("https://twitter.com/dvm099","@dvm099")</f>
        <v>@dvm099</v>
      </c>
      <c r="C2091" s="8" t="s">
        <v>7276</v>
      </c>
      <c r="D2091" s="9" t="s">
        <v>7277</v>
      </c>
      <c r="E2091" s="10" t="str">
        <f>HYPERLINK("https://twitter.com/dvm099/status/1070781816490074112","1070781816490074112")</f>
        <v>1070781816490074112</v>
      </c>
      <c r="F2091" s="12" t="s">
        <v>5820</v>
      </c>
      <c r="G2091" s="12" t="s">
        <v>5821</v>
      </c>
      <c r="H2091" s="11"/>
      <c r="I2091" s="13">
        <v>0</v>
      </c>
      <c r="J2091" s="13">
        <v>0</v>
      </c>
      <c r="K2091" s="14" t="str">
        <f>HYPERLINK("http://twitter.com/download/android","Twitter for Android")</f>
        <v>Twitter for Android</v>
      </c>
      <c r="L2091" s="13">
        <v>225</v>
      </c>
      <c r="M2091" s="13">
        <v>705</v>
      </c>
      <c r="N2091" s="13">
        <v>1</v>
      </c>
      <c r="O2091" s="15"/>
      <c r="P2091" s="6">
        <v>41672.668009259258</v>
      </c>
      <c r="Q2091" s="11"/>
      <c r="R2091" s="19" t="s">
        <v>7278</v>
      </c>
      <c r="S2091" s="11"/>
      <c r="T2091" s="11"/>
      <c r="U2091" s="10" t="str">
        <f>HYPERLINK("https://pbs.twimg.com/profile_images/1053103604838612992/CS3wS3Tn.jpg","View")</f>
        <v>View</v>
      </c>
    </row>
    <row r="2092" spans="1:21" ht="40.799999999999997">
      <c r="A2092" s="6">
        <v>43440.907997685186</v>
      </c>
      <c r="B2092" s="7" t="str">
        <f>HYPERLINK("https://twitter.com/Domingo45784070","@Domingo45784070")</f>
        <v>@Domingo45784070</v>
      </c>
      <c r="C2092" s="8" t="s">
        <v>7279</v>
      </c>
      <c r="D2092" s="9" t="s">
        <v>7280</v>
      </c>
      <c r="E2092" s="10" t="str">
        <f>HYPERLINK("https://twitter.com/Domingo45784070/status/1070781807845629953","1070781807845629953")</f>
        <v>1070781807845629953</v>
      </c>
      <c r="F2092" s="12" t="s">
        <v>4680</v>
      </c>
      <c r="G2092" s="11"/>
      <c r="H2092" s="11"/>
      <c r="I2092" s="13">
        <v>0</v>
      </c>
      <c r="J2092" s="13">
        <v>0</v>
      </c>
      <c r="K2092" s="14" t="str">
        <f>HYPERLINK("http://twitter.com/download/iphone","Twitter for iPhone")</f>
        <v>Twitter for iPhone</v>
      </c>
      <c r="L2092" s="13">
        <v>0</v>
      </c>
      <c r="M2092" s="13">
        <v>123</v>
      </c>
      <c r="N2092" s="13">
        <v>0</v>
      </c>
      <c r="O2092" s="15"/>
      <c r="P2092" s="6">
        <v>43440.886967592596</v>
      </c>
      <c r="Q2092" s="18" t="s">
        <v>1725</v>
      </c>
      <c r="R2092" s="19" t="s">
        <v>7281</v>
      </c>
      <c r="S2092" s="11"/>
      <c r="T2092" s="11"/>
      <c r="U2092" s="16" t="s">
        <v>191</v>
      </c>
    </row>
    <row r="2093" spans="1:21" ht="71.400000000000006">
      <c r="A2093" s="6">
        <v>43440.907939814817</v>
      </c>
      <c r="B2093" s="7" t="str">
        <f>HYPERLINK("https://twitter.com/Gus__Vik","@Gus__Vik")</f>
        <v>@Gus__Vik</v>
      </c>
      <c r="C2093" s="8" t="s">
        <v>630</v>
      </c>
      <c r="D2093" s="9" t="s">
        <v>7282</v>
      </c>
      <c r="E2093" s="10" t="str">
        <f>HYPERLINK("https://twitter.com/Gus__Vik/status/1070781786228228099","1070781786228228099")</f>
        <v>1070781786228228099</v>
      </c>
      <c r="F2093" s="12" t="s">
        <v>7283</v>
      </c>
      <c r="G2093" s="11"/>
      <c r="H2093" s="11"/>
      <c r="I2093" s="13">
        <v>0</v>
      </c>
      <c r="J2093" s="13">
        <v>3</v>
      </c>
      <c r="K2093" s="14" t="str">
        <f>HYPERLINK("http://twitter.com/download/android","Twitter for Android")</f>
        <v>Twitter for Android</v>
      </c>
      <c r="L2093" s="13">
        <v>1157</v>
      </c>
      <c r="M2093" s="13">
        <v>980</v>
      </c>
      <c r="N2093" s="13">
        <v>15</v>
      </c>
      <c r="O2093" s="15"/>
      <c r="P2093" s="6">
        <v>40666.461284722223</v>
      </c>
      <c r="Q2093" s="11"/>
      <c r="R2093" s="17"/>
      <c r="S2093" s="11"/>
      <c r="T2093" s="11"/>
      <c r="U2093" s="10" t="str">
        <f>HYPERLINK("https://pbs.twimg.com/profile_images/1060304776649433089/7Cnn7Jpp.jpg","View")</f>
        <v>View</v>
      </c>
    </row>
    <row r="2094" spans="1:21" ht="30.6">
      <c r="A2094" s="6">
        <v>43440.907719907409</v>
      </c>
      <c r="B2094" s="7" t="str">
        <f>HYPERLINK("https://twitter.com/UrretaJorge","@UrretaJorge")</f>
        <v>@UrretaJorge</v>
      </c>
      <c r="C2094" s="8" t="s">
        <v>7284</v>
      </c>
      <c r="D2094" s="9" t="s">
        <v>5958</v>
      </c>
      <c r="E2094" s="10" t="str">
        <f>HYPERLINK("https://twitter.com/UrretaJorge/status/1070781707274440704","1070781707274440704")</f>
        <v>1070781707274440704</v>
      </c>
      <c r="F2094" s="12" t="s">
        <v>7285</v>
      </c>
      <c r="G2094" s="12" t="s">
        <v>7286</v>
      </c>
      <c r="H2094" s="11"/>
      <c r="I2094" s="13">
        <v>0</v>
      </c>
      <c r="J2094" s="13">
        <v>0</v>
      </c>
      <c r="K2094" s="14" t="str">
        <f>HYPERLINK("https://dlvrit.com/","dlvr.it")</f>
        <v>dlvr.it</v>
      </c>
      <c r="L2094" s="13">
        <v>6180</v>
      </c>
      <c r="M2094" s="13">
        <v>6333</v>
      </c>
      <c r="N2094" s="13">
        <v>116</v>
      </c>
      <c r="O2094" s="15"/>
      <c r="P2094" s="6">
        <v>41216.774305555555</v>
      </c>
      <c r="Q2094" s="18" t="s">
        <v>7287</v>
      </c>
      <c r="R2094" s="19" t="s">
        <v>7288</v>
      </c>
      <c r="S2094" s="12" t="s">
        <v>7289</v>
      </c>
      <c r="T2094" s="11"/>
      <c r="U2094" s="10" t="str">
        <f>HYPERLINK("https://pbs.twimg.com/profile_images/636651341385965569/1AdINThO.jpg","View")</f>
        <v>View</v>
      </c>
    </row>
    <row r="2095" spans="1:21" ht="40.799999999999997">
      <c r="A2095" s="6">
        <v>43440.907430555555</v>
      </c>
      <c r="B2095" s="7" t="str">
        <f>HYPERLINK("https://twitter.com/Nesy37955356","@Nesy37955356")</f>
        <v>@Nesy37955356</v>
      </c>
      <c r="C2095" s="8" t="s">
        <v>7290</v>
      </c>
      <c r="D2095" s="9" t="s">
        <v>7291</v>
      </c>
      <c r="E2095" s="10" t="str">
        <f>HYPERLINK("https://twitter.com/Nesy37955356/status/1070781602634985473","1070781602634985473")</f>
        <v>1070781602634985473</v>
      </c>
      <c r="F2095" s="18" t="s">
        <v>7292</v>
      </c>
      <c r="G2095" s="11"/>
      <c r="H2095" s="11"/>
      <c r="I2095" s="13">
        <v>0</v>
      </c>
      <c r="J2095" s="13">
        <v>0</v>
      </c>
      <c r="K2095" s="14" t="str">
        <f t="shared" ref="K2095:K2096" si="358">HYPERLINK("http://twitter.com/download/android","Twitter for Android")</f>
        <v>Twitter for Android</v>
      </c>
      <c r="L2095" s="13">
        <v>59</v>
      </c>
      <c r="M2095" s="13">
        <v>51</v>
      </c>
      <c r="N2095" s="13">
        <v>0</v>
      </c>
      <c r="O2095" s="15"/>
      <c r="P2095" s="6">
        <v>43297.905416666668</v>
      </c>
      <c r="Q2095" s="11"/>
      <c r="R2095" s="17"/>
      <c r="S2095" s="11"/>
      <c r="T2095" s="11"/>
      <c r="U2095" s="10" t="str">
        <f>HYPERLINK("https://pbs.twimg.com/profile_images/1070729331524190209/7fiRl2I4.jpg","View")</f>
        <v>View</v>
      </c>
    </row>
    <row r="2096" spans="1:21" ht="51">
      <c r="A2096" s="6">
        <v>43440.907361111109</v>
      </c>
      <c r="B2096" s="7" t="str">
        <f>HYPERLINK("https://twitter.com/Gus__Vik","@Gus__Vik")</f>
        <v>@Gus__Vik</v>
      </c>
      <c r="C2096" s="8" t="s">
        <v>630</v>
      </c>
      <c r="D2096" s="9" t="s">
        <v>4140</v>
      </c>
      <c r="E2096" s="10" t="str">
        <f>HYPERLINK("https://twitter.com/Gus__Vik/status/1070781574201966596","1070781574201966596")</f>
        <v>1070781574201966596</v>
      </c>
      <c r="F2096" s="11"/>
      <c r="G2096" s="11"/>
      <c r="H2096" s="11"/>
      <c r="I2096" s="13">
        <v>1</v>
      </c>
      <c r="J2096" s="13">
        <v>7</v>
      </c>
      <c r="K2096" s="14" t="str">
        <f t="shared" si="358"/>
        <v>Twitter for Android</v>
      </c>
      <c r="L2096" s="13">
        <v>1157</v>
      </c>
      <c r="M2096" s="13">
        <v>980</v>
      </c>
      <c r="N2096" s="13">
        <v>15</v>
      </c>
      <c r="O2096" s="15"/>
      <c r="P2096" s="6">
        <v>40666.461284722223</v>
      </c>
      <c r="Q2096" s="11"/>
      <c r="R2096" s="17"/>
      <c r="S2096" s="11"/>
      <c r="T2096" s="11"/>
      <c r="U2096" s="10" t="str">
        <f>HYPERLINK("https://pbs.twimg.com/profile_images/1060304776649433089/7Cnn7Jpp.jpg","View")</f>
        <v>View</v>
      </c>
    </row>
    <row r="2097" spans="1:21" ht="20.399999999999999">
      <c r="A2097" s="6">
        <v>43440.90730324074</v>
      </c>
      <c r="B2097" s="7" t="str">
        <f>HYPERLINK("https://twitter.com/TurboNoticias","@TurboNoticias")</f>
        <v>@TurboNoticias</v>
      </c>
      <c r="C2097" s="8" t="s">
        <v>7293</v>
      </c>
      <c r="D2097" s="9" t="s">
        <v>6340</v>
      </c>
      <c r="E2097" s="10" t="str">
        <f>HYPERLINK("https://twitter.com/TurboNoticias/status/1070781553150713856","1070781553150713856")</f>
        <v>1070781553150713856</v>
      </c>
      <c r="F2097" s="12" t="s">
        <v>2673</v>
      </c>
      <c r="G2097" s="11"/>
      <c r="H2097" s="11"/>
      <c r="I2097" s="13">
        <v>0</v>
      </c>
      <c r="J2097" s="13">
        <v>0</v>
      </c>
      <c r="K2097" s="14" t="str">
        <f>HYPERLINK("https://ifttt.com","IFTTT")</f>
        <v>IFTTT</v>
      </c>
      <c r="L2097" s="13">
        <v>965</v>
      </c>
      <c r="M2097" s="13">
        <v>853</v>
      </c>
      <c r="N2097" s="13">
        <v>72</v>
      </c>
      <c r="O2097" s="15"/>
      <c r="P2097" s="6">
        <v>41374.90861111111</v>
      </c>
      <c r="Q2097" s="11"/>
      <c r="R2097" s="19" t="s">
        <v>7294</v>
      </c>
      <c r="S2097" s="11"/>
      <c r="T2097" s="11"/>
      <c r="U2097" s="10" t="str">
        <f>HYPERLINK("https://pbs.twimg.com/profile_images/3503488030/f3fa72449e81ed8eb09fe5df9d6c5afe.jpeg","View")</f>
        <v>View</v>
      </c>
    </row>
    <row r="2098" spans="1:21" ht="20.399999999999999">
      <c r="A2098" s="6">
        <v>43440.907118055555</v>
      </c>
      <c r="B2098" s="7" t="str">
        <f>HYPERLINK("https://twitter.com/gesdina","@gesdina")</f>
        <v>@gesdina</v>
      </c>
      <c r="C2098" s="8" t="s">
        <v>4141</v>
      </c>
      <c r="D2098" s="9" t="s">
        <v>4142</v>
      </c>
      <c r="E2098" s="10" t="str">
        <f>HYPERLINK("https://twitter.com/gesdina/status/1070781487564361730","1070781487564361730")</f>
        <v>1070781487564361730</v>
      </c>
      <c r="F2098" s="11"/>
      <c r="G2098" s="12" t="s">
        <v>4143</v>
      </c>
      <c r="H2098" s="11"/>
      <c r="I2098" s="13">
        <v>0</v>
      </c>
      <c r="J2098" s="13">
        <v>0</v>
      </c>
      <c r="K2098" s="14" t="str">
        <f>HYPERLINK("http://twitter.com/download/iphone","Twitter for iPhone")</f>
        <v>Twitter for iPhone</v>
      </c>
      <c r="L2098" s="13">
        <v>28</v>
      </c>
      <c r="M2098" s="13">
        <v>38</v>
      </c>
      <c r="N2098" s="13">
        <v>0</v>
      </c>
      <c r="O2098" s="15"/>
      <c r="P2098" s="6">
        <v>41008.792187500003</v>
      </c>
      <c r="Q2098" s="11"/>
      <c r="R2098" s="17"/>
      <c r="S2098" s="11"/>
      <c r="T2098" s="11"/>
      <c r="U2098" s="10" t="str">
        <f>HYPERLINK("https://pbs.twimg.com/profile_images/2088593295/image.jpg","View")</f>
        <v>View</v>
      </c>
    </row>
    <row r="2099" spans="1:21" ht="30.6">
      <c r="A2099" s="6">
        <v>43440.905624999999</v>
      </c>
      <c r="B2099" s="7" t="str">
        <f>HYPERLINK("https://twitter.com/VidalJuanma","@VidalJuanma")</f>
        <v>@VidalJuanma</v>
      </c>
      <c r="C2099" s="8" t="s">
        <v>7295</v>
      </c>
      <c r="D2099" s="9" t="s">
        <v>7296</v>
      </c>
      <c r="E2099" s="10" t="str">
        <f>HYPERLINK("https://twitter.com/VidalJuanma/status/1070780947606487040","1070780947606487040")</f>
        <v>1070780947606487040</v>
      </c>
      <c r="F2099" s="12" t="s">
        <v>7297</v>
      </c>
      <c r="G2099" s="11"/>
      <c r="H2099" s="11"/>
      <c r="I2099" s="13">
        <v>0</v>
      </c>
      <c r="J2099" s="13">
        <v>1</v>
      </c>
      <c r="K2099" s="14" t="str">
        <f>HYPERLINK("http://twitter.com","Twitter Web Client")</f>
        <v>Twitter Web Client</v>
      </c>
      <c r="L2099" s="13">
        <v>5132</v>
      </c>
      <c r="M2099" s="13">
        <v>4369</v>
      </c>
      <c r="N2099" s="13">
        <v>108</v>
      </c>
      <c r="O2099" s="15"/>
      <c r="P2099" s="6">
        <v>40585.843981481477</v>
      </c>
      <c r="Q2099" s="18" t="s">
        <v>7298</v>
      </c>
      <c r="R2099" s="19" t="s">
        <v>7299</v>
      </c>
      <c r="S2099" s="11"/>
      <c r="T2099" s="11"/>
      <c r="U2099" s="10" t="str">
        <f>HYPERLINK("https://pbs.twimg.com/profile_images/1063583830127403008/6aHeVYqS.jpg","View")</f>
        <v>View</v>
      </c>
    </row>
    <row r="2100" spans="1:21" ht="81.599999999999994">
      <c r="A2100" s="6">
        <v>43440.905486111107</v>
      </c>
      <c r="B2100" s="7" t="str">
        <f>HYPERLINK("https://twitter.com/PabloAlvarezSM","@PabloAlvarezSM")</f>
        <v>@PabloAlvarezSM</v>
      </c>
      <c r="C2100" s="8" t="s">
        <v>4149</v>
      </c>
      <c r="D2100" s="9" t="s">
        <v>4151</v>
      </c>
      <c r="E2100" s="10" t="str">
        <f>HYPERLINK("https://twitter.com/PabloAlvarezSM/status/1070780894816976897","1070780894816976897")</f>
        <v>1070780894816976897</v>
      </c>
      <c r="F2100" s="12" t="s">
        <v>4152</v>
      </c>
      <c r="G2100" s="11"/>
      <c r="H2100" s="11"/>
      <c r="I2100" s="13">
        <v>0</v>
      </c>
      <c r="J2100" s="13">
        <v>2</v>
      </c>
      <c r="K2100" s="14" t="str">
        <f>HYPERLINK("https://mobile.twitter.com","Twitter Lite")</f>
        <v>Twitter Lite</v>
      </c>
      <c r="L2100" s="13">
        <v>1571</v>
      </c>
      <c r="M2100" s="13">
        <v>2373</v>
      </c>
      <c r="N2100" s="13">
        <v>79</v>
      </c>
      <c r="O2100" s="15"/>
      <c r="P2100" s="6">
        <v>40441.401307870372</v>
      </c>
      <c r="Q2100" s="18" t="s">
        <v>1184</v>
      </c>
      <c r="R2100" s="19" t="s">
        <v>4155</v>
      </c>
      <c r="S2100" s="11"/>
      <c r="T2100" s="11"/>
      <c r="U2100" s="10" t="str">
        <f>HYPERLINK("https://pbs.twimg.com/profile_images/949993507539902470/7Y2w2Hnz.jpg","View")</f>
        <v>View</v>
      </c>
    </row>
    <row r="2101" spans="1:21" ht="61.2">
      <c r="A2101" s="6">
        <v>43440.905081018514</v>
      </c>
      <c r="B2101" s="7" t="str">
        <f>HYPERLINK("https://twitter.com/monnissima","@monnissima")</f>
        <v>@monnissima</v>
      </c>
      <c r="C2101" s="8" t="s">
        <v>1199</v>
      </c>
      <c r="D2101" s="9" t="s">
        <v>4158</v>
      </c>
      <c r="E2101" s="10" t="str">
        <f>HYPERLINK("https://twitter.com/monnissima/status/1070780749958316032","1070780749958316032")</f>
        <v>1070780749958316032</v>
      </c>
      <c r="F2101" s="18" t="s">
        <v>4161</v>
      </c>
      <c r="G2101" s="11"/>
      <c r="H2101" s="11"/>
      <c r="I2101" s="13">
        <v>0</v>
      </c>
      <c r="J2101" s="13">
        <v>0</v>
      </c>
      <c r="K2101" s="14" t="str">
        <f t="shared" ref="K2101:K2103" si="359">HYPERLINK("http://twitter.com/download/android","Twitter for Android")</f>
        <v>Twitter for Android</v>
      </c>
      <c r="L2101" s="13">
        <v>10857</v>
      </c>
      <c r="M2101" s="13">
        <v>9917</v>
      </c>
      <c r="N2101" s="13">
        <v>77</v>
      </c>
      <c r="O2101" s="15"/>
      <c r="P2101" s="6">
        <v>39997.076874999999</v>
      </c>
      <c r="Q2101" s="11"/>
      <c r="R2101" s="19" t="s">
        <v>1202</v>
      </c>
      <c r="S2101" s="12" t="s">
        <v>1203</v>
      </c>
      <c r="T2101" s="11"/>
      <c r="U2101" s="10" t="str">
        <f>HYPERLINK("https://pbs.twimg.com/profile_images/689510954627940352/rz9xXJtn.jpg","View")</f>
        <v>View</v>
      </c>
    </row>
    <row r="2102" spans="1:21" ht="13.2">
      <c r="A2102" s="6">
        <v>43440.90488425926</v>
      </c>
      <c r="B2102" s="7" t="str">
        <f>HYPERLINK("https://twitter.com/CarlosM91720903","@CarlosM91720903")</f>
        <v>@CarlosM91720903</v>
      </c>
      <c r="C2102" s="8" t="s">
        <v>7300</v>
      </c>
      <c r="D2102" s="9" t="s">
        <v>7301</v>
      </c>
      <c r="E2102" s="10" t="str">
        <f>HYPERLINK("https://twitter.com/CarlosM91720903/status/1070780676838965248","1070780676838965248")</f>
        <v>1070780676838965248</v>
      </c>
      <c r="F2102" s="11"/>
      <c r="G2102" s="12" t="s">
        <v>7302</v>
      </c>
      <c r="H2102" s="11"/>
      <c r="I2102" s="13">
        <v>0</v>
      </c>
      <c r="J2102" s="13">
        <v>0</v>
      </c>
      <c r="K2102" s="14" t="str">
        <f t="shared" si="359"/>
        <v>Twitter for Android</v>
      </c>
      <c r="L2102" s="13">
        <v>4</v>
      </c>
      <c r="M2102" s="13">
        <v>0</v>
      </c>
      <c r="N2102" s="13">
        <v>0</v>
      </c>
      <c r="O2102" s="15"/>
      <c r="P2102" s="6">
        <v>43410.84920138889</v>
      </c>
      <c r="Q2102" s="18" t="s">
        <v>173</v>
      </c>
      <c r="R2102" s="17"/>
      <c r="S2102" s="11"/>
      <c r="T2102" s="11"/>
      <c r="U2102" s="10" t="str">
        <f>HYPERLINK("https://pbs.twimg.com/profile_images/1059892416415756288/rZw1CYun.png","View")</f>
        <v>View</v>
      </c>
    </row>
    <row r="2103" spans="1:21" ht="30.6">
      <c r="A2103" s="6">
        <v>43440.903657407413</v>
      </c>
      <c r="B2103" s="7" t="str">
        <f>HYPERLINK("https://twitter.com/Puigdemonty","@Puigdemonty")</f>
        <v>@Puigdemonty</v>
      </c>
      <c r="C2103" s="8" t="s">
        <v>7303</v>
      </c>
      <c r="D2103" s="9" t="s">
        <v>7304</v>
      </c>
      <c r="E2103" s="10" t="str">
        <f>HYPERLINK("https://twitter.com/Puigdemonty/status/1070780232259563521","1070780232259563521")</f>
        <v>1070780232259563521</v>
      </c>
      <c r="F2103" s="12" t="s">
        <v>7305</v>
      </c>
      <c r="G2103" s="11"/>
      <c r="H2103" s="11"/>
      <c r="I2103" s="13">
        <v>1</v>
      </c>
      <c r="J2103" s="13">
        <v>5</v>
      </c>
      <c r="K2103" s="14" t="str">
        <f t="shared" si="359"/>
        <v>Twitter for Android</v>
      </c>
      <c r="L2103" s="13">
        <v>757</v>
      </c>
      <c r="M2103" s="13">
        <v>742</v>
      </c>
      <c r="N2103" s="13">
        <v>1</v>
      </c>
      <c r="O2103" s="15"/>
      <c r="P2103" s="6">
        <v>42984.711435185185</v>
      </c>
      <c r="Q2103" s="18" t="s">
        <v>885</v>
      </c>
      <c r="R2103" s="19" t="s">
        <v>7306</v>
      </c>
      <c r="S2103" s="11"/>
      <c r="T2103" s="11"/>
      <c r="U2103" s="10" t="str">
        <f>HYPERLINK("https://pbs.twimg.com/profile_images/977462263752863745/cUNTZ4zn.jpg","View")</f>
        <v>View</v>
      </c>
    </row>
    <row r="2104" spans="1:21" ht="51">
      <c r="A2104" s="6">
        <v>43440.903009259258</v>
      </c>
      <c r="B2104" s="7" t="str">
        <f>HYPERLINK("https://twitter.com/alto_policia","@alto_policia")</f>
        <v>@alto_policia</v>
      </c>
      <c r="C2104" s="8" t="s">
        <v>4164</v>
      </c>
      <c r="D2104" s="9" t="s">
        <v>4166</v>
      </c>
      <c r="E2104" s="10" t="str">
        <f>HYPERLINK("https://twitter.com/alto_policia/status/1070780000452952064","1070780000452952064")</f>
        <v>1070780000452952064</v>
      </c>
      <c r="F2104" s="12" t="s">
        <v>4167</v>
      </c>
      <c r="G2104" s="11"/>
      <c r="H2104" s="11"/>
      <c r="I2104" s="13">
        <v>6</v>
      </c>
      <c r="J2104" s="13">
        <v>13</v>
      </c>
      <c r="K2104" s="14" t="str">
        <f>HYPERLINK("http://twitter.com/download/iphone","Twitter for iPhone")</f>
        <v>Twitter for iPhone</v>
      </c>
      <c r="L2104" s="13">
        <v>8992</v>
      </c>
      <c r="M2104" s="13">
        <v>540</v>
      </c>
      <c r="N2104" s="13">
        <v>57</v>
      </c>
      <c r="O2104" s="15"/>
      <c r="P2104" s="6">
        <v>41055.750902777778</v>
      </c>
      <c r="Q2104" s="18" t="s">
        <v>26</v>
      </c>
      <c r="R2104" s="19" t="s">
        <v>4170</v>
      </c>
      <c r="S2104" s="12" t="s">
        <v>4171</v>
      </c>
      <c r="T2104" s="11"/>
      <c r="U2104" s="10" t="str">
        <f>HYPERLINK("https://pbs.twimg.com/profile_images/945066817197957122/Snt2qbXU.jpg","View")</f>
        <v>View</v>
      </c>
    </row>
    <row r="2105" spans="1:21" ht="20.399999999999999">
      <c r="A2105" s="6">
        <v>43440.902997685189</v>
      </c>
      <c r="B2105" s="7" t="str">
        <f>HYPERLINK("https://twitter.com/AbgUribe","@AbgUribe")</f>
        <v>@AbgUribe</v>
      </c>
      <c r="C2105" s="8" t="s">
        <v>7307</v>
      </c>
      <c r="D2105" s="9" t="s">
        <v>7308</v>
      </c>
      <c r="E2105" s="10" t="str">
        <f>HYPERLINK("https://twitter.com/AbgUribe/status/1070779994694148096","1070779994694148096")</f>
        <v>1070779994694148096</v>
      </c>
      <c r="F2105" s="11"/>
      <c r="G2105" s="11"/>
      <c r="H2105" s="11"/>
      <c r="I2105" s="13">
        <v>0</v>
      </c>
      <c r="J2105" s="13">
        <v>0</v>
      </c>
      <c r="K2105" s="14" t="str">
        <f>HYPERLINK("http://twitter.com","Twitter Web Client")</f>
        <v>Twitter Web Client</v>
      </c>
      <c r="L2105" s="13">
        <v>1937</v>
      </c>
      <c r="M2105" s="13">
        <v>2081</v>
      </c>
      <c r="N2105" s="13">
        <v>42</v>
      </c>
      <c r="O2105" s="15"/>
      <c r="P2105" s="6">
        <v>39922.948749999996</v>
      </c>
      <c r="Q2105" s="18" t="s">
        <v>7309</v>
      </c>
      <c r="R2105" s="19" t="s">
        <v>7310</v>
      </c>
      <c r="S2105" s="12" t="s">
        <v>7311</v>
      </c>
      <c r="T2105" s="11"/>
      <c r="U2105" s="10" t="str">
        <f>HYPERLINK("https://pbs.twimg.com/profile_images/1012765175064289280/_tJlDnuw.jpg","View")</f>
        <v>View</v>
      </c>
    </row>
    <row r="2106" spans="1:21" ht="102">
      <c r="A2106" s="6">
        <v>43440.902731481481</v>
      </c>
      <c r="B2106" s="7" t="str">
        <f>HYPERLINK("https://twitter.com/PAH_Arganda","@PAH_Arganda")</f>
        <v>@PAH_Arganda</v>
      </c>
      <c r="C2106" s="8" t="s">
        <v>4173</v>
      </c>
      <c r="D2106" s="9" t="s">
        <v>4174</v>
      </c>
      <c r="E2106" s="10" t="str">
        <f>HYPERLINK("https://twitter.com/PAH_Arganda/status/1070779899475050496","1070779899475050496")</f>
        <v>1070779899475050496</v>
      </c>
      <c r="F2106" s="12" t="s">
        <v>4177</v>
      </c>
      <c r="G2106" s="12" t="s">
        <v>4178</v>
      </c>
      <c r="H2106" s="11"/>
      <c r="I2106" s="13">
        <v>26</v>
      </c>
      <c r="J2106" s="13">
        <v>14</v>
      </c>
      <c r="K2106" s="14" t="str">
        <f t="shared" ref="K2106:K2108" si="360">HYPERLINK("http://twitter.com/download/android","Twitter for Android")</f>
        <v>Twitter for Android</v>
      </c>
      <c r="L2106" s="13">
        <v>2335</v>
      </c>
      <c r="M2106" s="13">
        <v>674</v>
      </c>
      <c r="N2106" s="13">
        <v>54</v>
      </c>
      <c r="O2106" s="15"/>
      <c r="P2106" s="6">
        <v>41777.916817129633</v>
      </c>
      <c r="Q2106" s="18" t="s">
        <v>4179</v>
      </c>
      <c r="R2106" s="19" t="s">
        <v>4180</v>
      </c>
      <c r="S2106" s="12" t="s">
        <v>4181</v>
      </c>
      <c r="T2106" s="11"/>
      <c r="U2106" s="10" t="str">
        <f>HYPERLINK("https://pbs.twimg.com/profile_images/929403684609458176/DLzjMDX4.jpg","View")</f>
        <v>View</v>
      </c>
    </row>
    <row r="2107" spans="1:21" ht="20.399999999999999">
      <c r="A2107" s="6">
        <v>43440.902650462958</v>
      </c>
      <c r="B2107" s="7" t="str">
        <f>HYPERLINK("https://twitter.com/albaparadise","@albaparadise")</f>
        <v>@albaparadise</v>
      </c>
      <c r="C2107" s="8" t="s">
        <v>7312</v>
      </c>
      <c r="D2107" s="9" t="s">
        <v>7313</v>
      </c>
      <c r="E2107" s="10" t="str">
        <f>HYPERLINK("https://twitter.com/albaparadise/status/1070779870152744960","1070779870152744960")</f>
        <v>1070779870152744960</v>
      </c>
      <c r="F2107" s="11"/>
      <c r="G2107" s="11"/>
      <c r="H2107" s="11"/>
      <c r="I2107" s="13">
        <v>0</v>
      </c>
      <c r="J2107" s="13">
        <v>0</v>
      </c>
      <c r="K2107" s="14" t="str">
        <f t="shared" si="360"/>
        <v>Twitter for Android</v>
      </c>
      <c r="L2107" s="13">
        <v>633</v>
      </c>
      <c r="M2107" s="13">
        <v>243</v>
      </c>
      <c r="N2107" s="13">
        <v>21</v>
      </c>
      <c r="O2107" s="15"/>
      <c r="P2107" s="6">
        <v>42034.425289351857</v>
      </c>
      <c r="Q2107" s="18" t="s">
        <v>41</v>
      </c>
      <c r="R2107" s="19" t="s">
        <v>7314</v>
      </c>
      <c r="S2107" s="11"/>
      <c r="T2107" s="11"/>
      <c r="U2107" s="10" t="str">
        <f>HYPERLINK("https://pbs.twimg.com/profile_images/1057227524181315584/DJJtEaYE.jpg","View")</f>
        <v>View</v>
      </c>
    </row>
    <row r="2108" spans="1:21" ht="30.6">
      <c r="A2108" s="6">
        <v>43440.902037037042</v>
      </c>
      <c r="B2108" s="7" t="str">
        <f>HYPERLINK("https://twitter.com/humanista41","@humanista41")</f>
        <v>@humanista41</v>
      </c>
      <c r="C2108" s="8" t="s">
        <v>4184</v>
      </c>
      <c r="D2108" s="9" t="s">
        <v>4185</v>
      </c>
      <c r="E2108" s="10" t="str">
        <f>HYPERLINK("https://twitter.com/humanista41/status/1070779648232042496","1070779648232042496")</f>
        <v>1070779648232042496</v>
      </c>
      <c r="F2108" s="18" t="s">
        <v>4186</v>
      </c>
      <c r="G2108" s="12" t="s">
        <v>4187</v>
      </c>
      <c r="H2108" s="11"/>
      <c r="I2108" s="13">
        <v>0</v>
      </c>
      <c r="J2108" s="13">
        <v>0</v>
      </c>
      <c r="K2108" s="14" t="str">
        <f t="shared" si="360"/>
        <v>Twitter for Android</v>
      </c>
      <c r="L2108" s="13">
        <v>432</v>
      </c>
      <c r="M2108" s="13">
        <v>403</v>
      </c>
      <c r="N2108" s="13">
        <v>14</v>
      </c>
      <c r="O2108" s="15"/>
      <c r="P2108" s="6">
        <v>40995.482002314813</v>
      </c>
      <c r="Q2108" s="18" t="s">
        <v>1325</v>
      </c>
      <c r="R2108" s="19" t="s">
        <v>4190</v>
      </c>
      <c r="S2108" s="11"/>
      <c r="T2108" s="11"/>
      <c r="U2108" s="10" t="str">
        <f>HYPERLINK("https://pbs.twimg.com/profile_images/2849294025/0352ee1fc4a1a2c7c4702c67be7d23dd.jpeg","View")</f>
        <v>View</v>
      </c>
    </row>
    <row r="2109" spans="1:21" ht="20.399999999999999">
      <c r="A2109" s="6">
        <v>43440.901620370365</v>
      </c>
      <c r="B2109" s="7" t="str">
        <f>HYPERLINK("https://twitter.com/eliath77924399","@eliath77924399")</f>
        <v>@eliath77924399</v>
      </c>
      <c r="C2109" s="8" t="s">
        <v>7315</v>
      </c>
      <c r="D2109" s="9" t="s">
        <v>7316</v>
      </c>
      <c r="E2109" s="10" t="str">
        <f>HYPERLINK("https://twitter.com/eliath77924399/status/1070779495471292416","1070779495471292416")</f>
        <v>1070779495471292416</v>
      </c>
      <c r="F2109" s="12" t="s">
        <v>6664</v>
      </c>
      <c r="G2109" s="11"/>
      <c r="H2109" s="11"/>
      <c r="I2109" s="13">
        <v>0</v>
      </c>
      <c r="J2109" s="13">
        <v>0</v>
      </c>
      <c r="K2109" s="14" t="str">
        <f>HYPERLINK("http://twitter.com","Twitter Web Client")</f>
        <v>Twitter Web Client</v>
      </c>
      <c r="L2109" s="13">
        <v>3105</v>
      </c>
      <c r="M2109" s="13">
        <v>4962</v>
      </c>
      <c r="N2109" s="13">
        <v>6</v>
      </c>
      <c r="O2109" s="15"/>
      <c r="P2109" s="6">
        <v>43017.466319444444</v>
      </c>
      <c r="Q2109" s="18" t="s">
        <v>7317</v>
      </c>
      <c r="R2109" s="19" t="s">
        <v>7318</v>
      </c>
      <c r="S2109" s="11"/>
      <c r="T2109" s="11"/>
      <c r="U2109" s="10" t="str">
        <f>HYPERLINK("https://pbs.twimg.com/profile_images/1004765749926334464/qcK86ORp.jpg","View")</f>
        <v>View</v>
      </c>
    </row>
    <row r="2110" spans="1:21" ht="51">
      <c r="A2110" s="6">
        <v>43440.90152777778</v>
      </c>
      <c r="B2110" s="7" t="str">
        <f>HYPERLINK("https://twitter.com/roigrules","@roigrules")</f>
        <v>@roigrules</v>
      </c>
      <c r="C2110" s="8" t="s">
        <v>1626</v>
      </c>
      <c r="D2110" s="9" t="s">
        <v>4192</v>
      </c>
      <c r="E2110" s="10" t="str">
        <f>HYPERLINK("https://twitter.com/roigrules/status/1070779462722162688","1070779462722162688")</f>
        <v>1070779462722162688</v>
      </c>
      <c r="F2110" s="11"/>
      <c r="G2110" s="11"/>
      <c r="H2110" s="11"/>
      <c r="I2110" s="13">
        <v>0</v>
      </c>
      <c r="J2110" s="13">
        <v>0</v>
      </c>
      <c r="K2110" s="14" t="str">
        <f t="shared" ref="K2110:K2112" si="361">HYPERLINK("http://twitter.com/download/android","Twitter for Android")</f>
        <v>Twitter for Android</v>
      </c>
      <c r="L2110" s="13">
        <v>22</v>
      </c>
      <c r="M2110" s="13">
        <v>65</v>
      </c>
      <c r="N2110" s="13">
        <v>0</v>
      </c>
      <c r="O2110" s="15"/>
      <c r="P2110" s="6">
        <v>41656.487314814818</v>
      </c>
      <c r="Q2110" s="11"/>
      <c r="R2110" s="17"/>
      <c r="S2110" s="11"/>
      <c r="T2110" s="11"/>
      <c r="U2110" s="10" t="str">
        <f>HYPERLINK("https://pbs.twimg.com/profile_images/1058449598254059520/lY6JprHh.jpg","View")</f>
        <v>View</v>
      </c>
    </row>
    <row r="2111" spans="1:21" ht="102">
      <c r="A2111" s="6">
        <v>43440.90152777778</v>
      </c>
      <c r="B2111" s="7" t="str">
        <f>HYPERLINK("https://twitter.com/memeses2","@memeses2")</f>
        <v>@memeses2</v>
      </c>
      <c r="C2111" s="8" t="s">
        <v>4443</v>
      </c>
      <c r="D2111" s="9" t="s">
        <v>7319</v>
      </c>
      <c r="E2111" s="10" t="str">
        <f>HYPERLINK("https://twitter.com/memeses2/status/1070779460964753410","1070779460964753410")</f>
        <v>1070779460964753410</v>
      </c>
      <c r="F2111" s="12" t="s">
        <v>7320</v>
      </c>
      <c r="G2111" s="12" t="s">
        <v>7321</v>
      </c>
      <c r="H2111" s="11"/>
      <c r="I2111" s="13">
        <v>3</v>
      </c>
      <c r="J2111" s="13">
        <v>3</v>
      </c>
      <c r="K2111" s="14" t="str">
        <f t="shared" si="361"/>
        <v>Twitter for Android</v>
      </c>
      <c r="L2111" s="13">
        <v>818</v>
      </c>
      <c r="M2111" s="13">
        <v>749</v>
      </c>
      <c r="N2111" s="13">
        <v>1</v>
      </c>
      <c r="O2111" s="15"/>
      <c r="P2111" s="6">
        <v>43413.516655092593</v>
      </c>
      <c r="Q2111" s="18" t="s">
        <v>42</v>
      </c>
      <c r="R2111" s="19" t="s">
        <v>4451</v>
      </c>
      <c r="S2111" s="11"/>
      <c r="T2111" s="11"/>
      <c r="U2111" s="10" t="str">
        <f>HYPERLINK("https://pbs.twimg.com/profile_images/1060857415640539136/cZbEgTAv.jpg","View")</f>
        <v>View</v>
      </c>
    </row>
    <row r="2112" spans="1:21" ht="51">
      <c r="A2112" s="6">
        <v>43440.899907407409</v>
      </c>
      <c r="B2112" s="7" t="str">
        <f>HYPERLINK("https://twitter.com/vicentegomez77","@vicentegomez77")</f>
        <v>@vicentegomez77</v>
      </c>
      <c r="C2112" s="8" t="s">
        <v>5495</v>
      </c>
      <c r="D2112" s="9" t="s">
        <v>7322</v>
      </c>
      <c r="E2112" s="10" t="str">
        <f>HYPERLINK("https://twitter.com/vicentegomez77/status/1070778873300832256","1070778873300832256")</f>
        <v>1070778873300832256</v>
      </c>
      <c r="F2112" s="11"/>
      <c r="G2112" s="12" t="s">
        <v>7323</v>
      </c>
      <c r="H2112" s="11"/>
      <c r="I2112" s="13">
        <v>5</v>
      </c>
      <c r="J2112" s="13">
        <v>4</v>
      </c>
      <c r="K2112" s="14" t="str">
        <f t="shared" si="361"/>
        <v>Twitter for Android</v>
      </c>
      <c r="L2112" s="13">
        <v>617</v>
      </c>
      <c r="M2112" s="13">
        <v>933</v>
      </c>
      <c r="N2112" s="13">
        <v>7</v>
      </c>
      <c r="O2112" s="15"/>
      <c r="P2112" s="6">
        <v>42005.92454861111</v>
      </c>
      <c r="Q2112" s="18" t="s">
        <v>5497</v>
      </c>
      <c r="R2112" s="19" t="s">
        <v>5498</v>
      </c>
      <c r="S2112" s="11"/>
      <c r="T2112" s="11"/>
      <c r="U2112" s="10" t="str">
        <f>HYPERLINK("https://pbs.twimg.com/profile_images/1017169979698016256/ZiViA2Ue.jpg","View")</f>
        <v>View</v>
      </c>
    </row>
    <row r="2113" spans="1:21" ht="30.6">
      <c r="A2113" s="6">
        <v>43440.899861111116</v>
      </c>
      <c r="B2113" s="7" t="str">
        <f>HYPERLINK("https://twitter.com/JorgeLo57757193","@JorgeLo57757193")</f>
        <v>@JorgeLo57757193</v>
      </c>
      <c r="C2113" s="8" t="s">
        <v>4193</v>
      </c>
      <c r="D2113" s="9" t="s">
        <v>4194</v>
      </c>
      <c r="E2113" s="10" t="str">
        <f>HYPERLINK("https://twitter.com/JorgeLo57757193/status/1070778856079015936","1070778856079015936")</f>
        <v>1070778856079015936</v>
      </c>
      <c r="F2113" s="12" t="s">
        <v>4197</v>
      </c>
      <c r="G2113" s="11"/>
      <c r="H2113" s="11"/>
      <c r="I2113" s="13">
        <v>0</v>
      </c>
      <c r="J2113" s="13">
        <v>0</v>
      </c>
      <c r="K2113" s="14" t="str">
        <f>HYPERLINK("http://twitter.com/#!/download/ipad","Twitter for iPad")</f>
        <v>Twitter for iPad</v>
      </c>
      <c r="L2113" s="13">
        <v>5</v>
      </c>
      <c r="M2113" s="13">
        <v>34</v>
      </c>
      <c r="N2113" s="13">
        <v>0</v>
      </c>
      <c r="O2113" s="15"/>
      <c r="P2113" s="6">
        <v>43383.952083333337</v>
      </c>
      <c r="Q2113" s="18" t="s">
        <v>4199</v>
      </c>
      <c r="R2113" s="19" t="s">
        <v>4200</v>
      </c>
      <c r="S2113" s="11"/>
      <c r="T2113" s="11"/>
      <c r="U2113" s="10" t="str">
        <f>HYPERLINK("https://pbs.twimg.com/profile_images/1050128878633701376/yIzvw-Ar.jpg","View")</f>
        <v>View</v>
      </c>
    </row>
    <row r="2114" spans="1:21" ht="40.799999999999997">
      <c r="A2114" s="6">
        <v>43440.899155092593</v>
      </c>
      <c r="B2114" s="7" t="str">
        <f>HYPERLINK("https://twitter.com/LAPYZAZUL","@LAPYZAZUL")</f>
        <v>@LAPYZAZUL</v>
      </c>
      <c r="C2114" s="8" t="s">
        <v>4202</v>
      </c>
      <c r="D2114" s="9" t="s">
        <v>4203</v>
      </c>
      <c r="E2114" s="10" t="str">
        <f>HYPERLINK("https://twitter.com/LAPYZAZUL/status/1070778603636486144","1070778603636486144")</f>
        <v>1070778603636486144</v>
      </c>
      <c r="F2114" s="11"/>
      <c r="G2114" s="12" t="s">
        <v>4205</v>
      </c>
      <c r="H2114" s="11"/>
      <c r="I2114" s="13">
        <v>0</v>
      </c>
      <c r="J2114" s="13">
        <v>0</v>
      </c>
      <c r="K2114" s="14" t="str">
        <f t="shared" ref="K2114:K2115" si="362">HYPERLINK("http://twitter.com/download/android","Twitter for Android")</f>
        <v>Twitter for Android</v>
      </c>
      <c r="L2114" s="13">
        <v>1710</v>
      </c>
      <c r="M2114" s="13">
        <v>2199</v>
      </c>
      <c r="N2114" s="13">
        <v>20</v>
      </c>
      <c r="O2114" s="15"/>
      <c r="P2114" s="6">
        <v>40749.902870370366</v>
      </c>
      <c r="Q2114" s="11"/>
      <c r="R2114" s="19" t="s">
        <v>4206</v>
      </c>
      <c r="S2114" s="11"/>
      <c r="T2114" s="11"/>
      <c r="U2114" s="10" t="str">
        <f>HYPERLINK("https://pbs.twimg.com/profile_images/817471612584914945/lQF_Drfx.jpg","View")</f>
        <v>View</v>
      </c>
    </row>
    <row r="2115" spans="1:21" ht="51">
      <c r="A2115" s="6">
        <v>43440.898182870369</v>
      </c>
      <c r="B2115" s="7" t="str">
        <f>HYPERLINK("https://twitter.com/MariaDeJesusCG1","@MariaDeJesusCG1")</f>
        <v>@MariaDeJesusCG1</v>
      </c>
      <c r="C2115" s="8" t="s">
        <v>3983</v>
      </c>
      <c r="D2115" s="9" t="s">
        <v>4208</v>
      </c>
      <c r="E2115" s="10" t="str">
        <f>HYPERLINK("https://twitter.com/MariaDeJesusCG1/status/1070778250379563012","1070778250379563012")</f>
        <v>1070778250379563012</v>
      </c>
      <c r="F2115" s="18" t="s">
        <v>4209</v>
      </c>
      <c r="G2115" s="11"/>
      <c r="H2115" s="11"/>
      <c r="I2115" s="13">
        <v>1</v>
      </c>
      <c r="J2115" s="13">
        <v>0</v>
      </c>
      <c r="K2115" s="14" t="str">
        <f t="shared" si="362"/>
        <v>Twitter for Android</v>
      </c>
      <c r="L2115" s="13">
        <v>5202</v>
      </c>
      <c r="M2115" s="13">
        <v>4940</v>
      </c>
      <c r="N2115" s="13">
        <v>55</v>
      </c>
      <c r="O2115" s="15"/>
      <c r="P2115" s="6">
        <v>41354.774907407409</v>
      </c>
      <c r="Q2115" s="18" t="s">
        <v>204</v>
      </c>
      <c r="R2115" s="19" t="s">
        <v>3986</v>
      </c>
      <c r="S2115" s="11"/>
      <c r="T2115" s="11"/>
      <c r="U2115" s="10" t="str">
        <f>HYPERLINK("https://pbs.twimg.com/profile_images/960227596494671872/3hEg6zQY.jpg","View")</f>
        <v>View</v>
      </c>
    </row>
    <row r="2116" spans="1:21" ht="81.599999999999994">
      <c r="A2116" s="6">
        <v>43440.897974537038</v>
      </c>
      <c r="B2116" s="7" t="str">
        <f>HYPERLINK("https://twitter.com/mmillan23","@mmillan23")</f>
        <v>@mmillan23</v>
      </c>
      <c r="C2116" s="8" t="s">
        <v>1081</v>
      </c>
      <c r="D2116" s="9" t="s">
        <v>4210</v>
      </c>
      <c r="E2116" s="10" t="str">
        <f>HYPERLINK("https://twitter.com/mmillan23/status/1070778175880380416","1070778175880380416")</f>
        <v>1070778175880380416</v>
      </c>
      <c r="F2116" s="12" t="s">
        <v>3456</v>
      </c>
      <c r="G2116" s="11"/>
      <c r="H2116" s="11"/>
      <c r="I2116" s="13">
        <v>0</v>
      </c>
      <c r="J2116" s="13">
        <v>0</v>
      </c>
      <c r="K2116" s="14" t="str">
        <f>HYPERLINK("http://twitter.com/download/iphone","Twitter for iPhone")</f>
        <v>Twitter for iPhone</v>
      </c>
      <c r="L2116" s="13">
        <v>135</v>
      </c>
      <c r="M2116" s="13">
        <v>169</v>
      </c>
      <c r="N2116" s="13">
        <v>2</v>
      </c>
      <c r="O2116" s="15"/>
      <c r="P2116" s="6">
        <v>40505.929178240738</v>
      </c>
      <c r="Q2116" s="18" t="s">
        <v>1086</v>
      </c>
      <c r="R2116" s="19" t="s">
        <v>1087</v>
      </c>
      <c r="S2116" s="11"/>
      <c r="T2116" s="11"/>
      <c r="U2116" s="10" t="str">
        <f>HYPERLINK("https://pbs.twimg.com/profile_images/579562269106929665/XVgiR2M1.jpg","View")</f>
        <v>View</v>
      </c>
    </row>
    <row r="2117" spans="1:21" ht="40.799999999999997">
      <c r="A2117" s="6">
        <v>43440.897361111114</v>
      </c>
      <c r="B2117" s="7" t="str">
        <f>HYPERLINK("https://twitter.com/jesler9","@jesler9")</f>
        <v>@jesler9</v>
      </c>
      <c r="C2117" s="8" t="s">
        <v>7324</v>
      </c>
      <c r="D2117" s="9" t="s">
        <v>7325</v>
      </c>
      <c r="E2117" s="10" t="str">
        <f>HYPERLINK("https://twitter.com/jesler9/status/1070777953880064000","1070777953880064000")</f>
        <v>1070777953880064000</v>
      </c>
      <c r="F2117" s="11"/>
      <c r="G2117" s="11"/>
      <c r="H2117" s="11"/>
      <c r="I2117" s="13">
        <v>0</v>
      </c>
      <c r="J2117" s="13">
        <v>0</v>
      </c>
      <c r="K2117" s="14" t="str">
        <f>HYPERLINK("http://twitter.com/download/android","Twitter for Android")</f>
        <v>Twitter for Android</v>
      </c>
      <c r="L2117" s="13">
        <v>266</v>
      </c>
      <c r="M2117" s="13">
        <v>551</v>
      </c>
      <c r="N2117" s="13">
        <v>1</v>
      </c>
      <c r="O2117" s="15"/>
      <c r="P2117" s="6">
        <v>41717.858055555553</v>
      </c>
      <c r="Q2117" s="18" t="s">
        <v>7326</v>
      </c>
      <c r="R2117" s="19" t="s">
        <v>7327</v>
      </c>
      <c r="S2117" s="11"/>
      <c r="T2117" s="11"/>
      <c r="U2117" s="10" t="str">
        <f>HYPERLINK("https://pbs.twimg.com/profile_images/464871507374927872/H6pAkZXI.jpeg","View")</f>
        <v>View</v>
      </c>
    </row>
    <row r="2118" spans="1:21" ht="30.6">
      <c r="A2118" s="6">
        <v>43440.897268518514</v>
      </c>
      <c r="B2118" s="7" t="str">
        <f>HYPERLINK("https://twitter.com/JMancha64","@JMancha64")</f>
        <v>@JMancha64</v>
      </c>
      <c r="C2118" s="8" t="s">
        <v>7237</v>
      </c>
      <c r="D2118" s="9" t="s">
        <v>7328</v>
      </c>
      <c r="E2118" s="10" t="str">
        <f>HYPERLINK("https://twitter.com/JMancha64/status/1070777919969071107","1070777919969071107")</f>
        <v>1070777919969071107</v>
      </c>
      <c r="F2118" s="12" t="s">
        <v>7329</v>
      </c>
      <c r="G2118" s="11"/>
      <c r="H2118" s="11"/>
      <c r="I2118" s="13">
        <v>0</v>
      </c>
      <c r="J2118" s="13">
        <v>0</v>
      </c>
      <c r="K2118" s="14" t="str">
        <f t="shared" ref="K2118:K2121" si="363">HYPERLINK("http://twitter.com","Twitter Web Client")</f>
        <v>Twitter Web Client</v>
      </c>
      <c r="L2118" s="13">
        <v>302</v>
      </c>
      <c r="M2118" s="13">
        <v>365</v>
      </c>
      <c r="N2118" s="13">
        <v>1</v>
      </c>
      <c r="O2118" s="15"/>
      <c r="P2118" s="6">
        <v>41144.428252314814</v>
      </c>
      <c r="Q2118" s="18" t="s">
        <v>2835</v>
      </c>
      <c r="R2118" s="19" t="s">
        <v>7240</v>
      </c>
      <c r="S2118" s="11"/>
      <c r="T2118" s="11"/>
      <c r="U2118" s="10" t="str">
        <f>HYPERLINK("https://pbs.twimg.com/profile_images/1041585010959101952/UwLNrDaB.jpg","View")</f>
        <v>View</v>
      </c>
    </row>
    <row r="2119" spans="1:21" ht="30.6">
      <c r="A2119" s="6">
        <v>43440.897152777776</v>
      </c>
      <c r="B2119" s="7" t="str">
        <f>HYPERLINK("https://twitter.com/NoPotemosNo","@NoPotemosNo")</f>
        <v>@NoPotemosNo</v>
      </c>
      <c r="C2119" s="8" t="s">
        <v>7207</v>
      </c>
      <c r="D2119" s="9" t="s">
        <v>7330</v>
      </c>
      <c r="E2119" s="10" t="str">
        <f>HYPERLINK("https://twitter.com/NoPotemosNo/status/1070777876272873472","1070777876272873472")</f>
        <v>1070777876272873472</v>
      </c>
      <c r="F2119" s="12" t="s">
        <v>7331</v>
      </c>
      <c r="G2119" s="11"/>
      <c r="H2119" s="11"/>
      <c r="I2119" s="13">
        <v>0</v>
      </c>
      <c r="J2119" s="13">
        <v>0</v>
      </c>
      <c r="K2119" s="14" t="str">
        <f t="shared" si="363"/>
        <v>Twitter Web Client</v>
      </c>
      <c r="L2119" s="13">
        <v>148</v>
      </c>
      <c r="M2119" s="13">
        <v>12</v>
      </c>
      <c r="N2119" s="13">
        <v>3</v>
      </c>
      <c r="O2119" s="15"/>
      <c r="P2119" s="6">
        <v>42853.515023148153</v>
      </c>
      <c r="Q2119" s="11"/>
      <c r="R2119" s="19" t="s">
        <v>7210</v>
      </c>
      <c r="S2119" s="11"/>
      <c r="T2119" s="11"/>
      <c r="U2119" s="10" t="str">
        <f>HYPERLINK("https://pbs.twimg.com/profile_images/857908903694262272/tXMyaWAJ.jpg","View")</f>
        <v>View</v>
      </c>
    </row>
    <row r="2120" spans="1:21" ht="20.399999999999999">
      <c r="A2120" s="6">
        <v>43440.89708333333</v>
      </c>
      <c r="B2120" s="7" t="str">
        <f>HYPERLINK("https://twitter.com/Merchemecky","@Merchemecky")</f>
        <v>@Merchemecky</v>
      </c>
      <c r="C2120" s="8" t="s">
        <v>7332</v>
      </c>
      <c r="D2120" s="9" t="s">
        <v>6413</v>
      </c>
      <c r="E2120" s="10" t="str">
        <f>HYPERLINK("https://twitter.com/Merchemecky/status/1070777849370546176","1070777849370546176")</f>
        <v>1070777849370546176</v>
      </c>
      <c r="F2120" s="12" t="s">
        <v>2684</v>
      </c>
      <c r="G2120" s="11"/>
      <c r="H2120" s="11"/>
      <c r="I2120" s="13">
        <v>0</v>
      </c>
      <c r="J2120" s="13">
        <v>0</v>
      </c>
      <c r="K2120" s="14" t="str">
        <f t="shared" si="363"/>
        <v>Twitter Web Client</v>
      </c>
      <c r="L2120" s="13">
        <v>492</v>
      </c>
      <c r="M2120" s="13">
        <v>1554</v>
      </c>
      <c r="N2120" s="13">
        <v>10</v>
      </c>
      <c r="O2120" s="15"/>
      <c r="P2120" s="6">
        <v>40372.957187499997</v>
      </c>
      <c r="Q2120" s="11"/>
      <c r="R2120" s="17"/>
      <c r="S2120" s="11"/>
      <c r="T2120" s="11"/>
      <c r="U2120" s="10" t="str">
        <f>HYPERLINK("https://pbs.twimg.com/profile_images/1042407442087325696/5kV6pg_k.jpg","View")</f>
        <v>View</v>
      </c>
    </row>
    <row r="2121" spans="1:21" ht="40.799999999999997">
      <c r="A2121" s="6">
        <v>43440.897002314814</v>
      </c>
      <c r="B2121" s="7" t="str">
        <f>HYPERLINK("https://twitter.com/CarmenSanCarlos","@CarmenSanCarlos")</f>
        <v>@CarmenSanCarlos</v>
      </c>
      <c r="C2121" s="8" t="s">
        <v>4211</v>
      </c>
      <c r="D2121" s="9" t="s">
        <v>4212</v>
      </c>
      <c r="E2121" s="10" t="str">
        <f>HYPERLINK("https://twitter.com/CarmenSanCarlos/status/1070777823126794240","1070777823126794240")</f>
        <v>1070777823126794240</v>
      </c>
      <c r="F2121" s="12" t="s">
        <v>4215</v>
      </c>
      <c r="G2121" s="11"/>
      <c r="H2121" s="11"/>
      <c r="I2121" s="13">
        <v>3</v>
      </c>
      <c r="J2121" s="13">
        <v>2</v>
      </c>
      <c r="K2121" s="14" t="str">
        <f t="shared" si="363"/>
        <v>Twitter Web Client</v>
      </c>
      <c r="L2121" s="13">
        <v>2786</v>
      </c>
      <c r="M2121" s="13">
        <v>2634</v>
      </c>
      <c r="N2121" s="13">
        <v>91</v>
      </c>
      <c r="O2121" s="15"/>
      <c r="P2121" s="6">
        <v>40079.761076388888</v>
      </c>
      <c r="Q2121" s="18" t="s">
        <v>100</v>
      </c>
      <c r="R2121" s="19" t="s">
        <v>4216</v>
      </c>
      <c r="S2121" s="11"/>
      <c r="T2121" s="11"/>
      <c r="U2121" s="10" t="str">
        <f>HYPERLINK("https://pbs.twimg.com/profile_images/718568456614875136/UFn3eHCb.jpg","View")</f>
        <v>View</v>
      </c>
    </row>
    <row r="2122" spans="1:21" ht="81.599999999999994">
      <c r="A2122" s="6">
        <v>43440.896967592591</v>
      </c>
      <c r="B2122" s="7" t="str">
        <f>HYPERLINK("https://twitter.com/J_Gonzalez_Ca","@J_Gonzalez_Ca")</f>
        <v>@J_Gonzalez_Ca</v>
      </c>
      <c r="C2122" s="8" t="s">
        <v>7333</v>
      </c>
      <c r="D2122" s="9" t="s">
        <v>7334</v>
      </c>
      <c r="E2122" s="10" t="str">
        <f>HYPERLINK("https://twitter.com/J_Gonzalez_Ca/status/1070777808971022343","1070777808971022343")</f>
        <v>1070777808971022343</v>
      </c>
      <c r="F2122" s="12" t="s">
        <v>7335</v>
      </c>
      <c r="G2122" s="12" t="s">
        <v>7336</v>
      </c>
      <c r="H2122" s="11"/>
      <c r="I2122" s="13">
        <v>0</v>
      </c>
      <c r="J2122" s="13">
        <v>0</v>
      </c>
      <c r="K2122" s="14" t="str">
        <f>HYPERLINK("http://twitter.com/#!/download/ipad","Twitter for iPad")</f>
        <v>Twitter for iPad</v>
      </c>
      <c r="L2122" s="13">
        <v>162</v>
      </c>
      <c r="M2122" s="13">
        <v>427</v>
      </c>
      <c r="N2122" s="13">
        <v>3</v>
      </c>
      <c r="O2122" s="15"/>
      <c r="P2122" s="6">
        <v>41336.44295138889</v>
      </c>
      <c r="Q2122" s="18" t="s">
        <v>7337</v>
      </c>
      <c r="R2122" s="19" t="s">
        <v>7338</v>
      </c>
      <c r="S2122" s="11"/>
      <c r="T2122" s="11"/>
      <c r="U2122" s="10" t="str">
        <f>HYPERLINK("https://pbs.twimg.com/profile_images/3332308629/979eee489a001adf427ad901374700f6.jpeg","View")</f>
        <v>View</v>
      </c>
    </row>
    <row r="2123" spans="1:21" ht="30.6">
      <c r="A2123" s="6">
        <v>43440.895914351851</v>
      </c>
      <c r="B2123" s="7" t="str">
        <f>HYPERLINK("https://twitter.com/OrianaSimoz","@OrianaSimoz")</f>
        <v>@OrianaSimoz</v>
      </c>
      <c r="C2123" s="8" t="s">
        <v>7339</v>
      </c>
      <c r="D2123" s="9" t="s">
        <v>7340</v>
      </c>
      <c r="E2123" s="10" t="str">
        <f>HYPERLINK("https://twitter.com/OrianaSimoz/status/1070777427326955520","1070777427326955520")</f>
        <v>1070777427326955520</v>
      </c>
      <c r="F2123" s="18" t="s">
        <v>7341</v>
      </c>
      <c r="G2123" s="12" t="s">
        <v>7342</v>
      </c>
      <c r="H2123" s="11"/>
      <c r="I2123" s="13">
        <v>0</v>
      </c>
      <c r="J2123" s="13">
        <v>0</v>
      </c>
      <c r="K2123" s="14" t="str">
        <f>HYPERLINK("https://dlvrit.com/","dlvr.it")</f>
        <v>dlvr.it</v>
      </c>
      <c r="L2123" s="13">
        <v>20</v>
      </c>
      <c r="M2123" s="13">
        <v>54</v>
      </c>
      <c r="N2123" s="13">
        <v>0</v>
      </c>
      <c r="O2123" s="15"/>
      <c r="P2123" s="6">
        <v>42956.782962962963</v>
      </c>
      <c r="Q2123" s="18" t="s">
        <v>942</v>
      </c>
      <c r="R2123" s="19" t="s">
        <v>7343</v>
      </c>
      <c r="S2123" s="11"/>
      <c r="T2123" s="11"/>
      <c r="U2123" s="10" t="str">
        <f>HYPERLINK("https://pbs.twimg.com/profile_images/1006572826097340416/9uGiB3BG.jpg","View")</f>
        <v>View</v>
      </c>
    </row>
    <row r="2124" spans="1:21" ht="51">
      <c r="A2124" s="6">
        <v>43440.895462962959</v>
      </c>
      <c r="B2124" s="7" t="str">
        <f>HYPERLINK("https://twitter.com/mmillan23","@mmillan23")</f>
        <v>@mmillan23</v>
      </c>
      <c r="C2124" s="8" t="s">
        <v>1081</v>
      </c>
      <c r="D2124" s="9" t="s">
        <v>4218</v>
      </c>
      <c r="E2124" s="10" t="str">
        <f>HYPERLINK("https://twitter.com/mmillan23/status/1070777265137598465","1070777265137598465")</f>
        <v>1070777265137598465</v>
      </c>
      <c r="F2124" s="11"/>
      <c r="G2124" s="11"/>
      <c r="H2124" s="11"/>
      <c r="I2124" s="13">
        <v>0</v>
      </c>
      <c r="J2124" s="13">
        <v>1</v>
      </c>
      <c r="K2124" s="14" t="str">
        <f>HYPERLINK("http://twitter.com/download/iphone","Twitter for iPhone")</f>
        <v>Twitter for iPhone</v>
      </c>
      <c r="L2124" s="13">
        <v>135</v>
      </c>
      <c r="M2124" s="13">
        <v>169</v>
      </c>
      <c r="N2124" s="13">
        <v>2</v>
      </c>
      <c r="O2124" s="15"/>
      <c r="P2124" s="6">
        <v>40505.929178240738</v>
      </c>
      <c r="Q2124" s="18" t="s">
        <v>1086</v>
      </c>
      <c r="R2124" s="19" t="s">
        <v>1087</v>
      </c>
      <c r="S2124" s="11"/>
      <c r="T2124" s="11"/>
      <c r="U2124" s="10" t="str">
        <f>HYPERLINK("https://pbs.twimg.com/profile_images/579562269106929665/XVgiR2M1.jpg","View")</f>
        <v>View</v>
      </c>
    </row>
    <row r="2125" spans="1:21" ht="51">
      <c r="A2125" s="6">
        <v>43440.894942129627</v>
      </c>
      <c r="B2125" s="7" t="str">
        <f>HYPERLINK("https://twitter.com/EduardoAndradas","@EduardoAndradas")</f>
        <v>@EduardoAndradas</v>
      </c>
      <c r="C2125" s="8" t="s">
        <v>7344</v>
      </c>
      <c r="D2125" s="9" t="s">
        <v>7345</v>
      </c>
      <c r="E2125" s="10" t="str">
        <f>HYPERLINK("https://twitter.com/EduardoAndradas/status/1070777076888821761","1070777076888821761")</f>
        <v>1070777076888821761</v>
      </c>
      <c r="F2125" s="11"/>
      <c r="G2125" s="12" t="s">
        <v>7346</v>
      </c>
      <c r="H2125" s="11"/>
      <c r="I2125" s="13">
        <v>2</v>
      </c>
      <c r="J2125" s="13">
        <v>7</v>
      </c>
      <c r="K2125" s="14" t="str">
        <f t="shared" ref="K2125:K2126" si="364">HYPERLINK("http://twitter.com","Twitter Web Client")</f>
        <v>Twitter Web Client</v>
      </c>
      <c r="L2125" s="13">
        <v>2100</v>
      </c>
      <c r="M2125" s="13">
        <v>1830</v>
      </c>
      <c r="N2125" s="13">
        <v>14</v>
      </c>
      <c r="O2125" s="15"/>
      <c r="P2125" s="6">
        <v>40591.938368055555</v>
      </c>
      <c r="Q2125" s="18" t="s">
        <v>7347</v>
      </c>
      <c r="R2125" s="19" t="s">
        <v>7348</v>
      </c>
      <c r="S2125" s="12" t="s">
        <v>7349</v>
      </c>
      <c r="T2125" s="11"/>
      <c r="U2125" s="10" t="str">
        <f>HYPERLINK("https://pbs.twimg.com/profile_images/1247458725/15840_176492137487_743492487_2791306_641714_n.jpg","View")</f>
        <v>View</v>
      </c>
    </row>
    <row r="2126" spans="1:21" ht="40.799999999999997">
      <c r="A2126" s="6">
        <v>43440.894675925927</v>
      </c>
      <c r="B2126" s="7" t="str">
        <f>HYPERLINK("https://twitter.com/cayetanosanch","@cayetanosanch")</f>
        <v>@cayetanosanch</v>
      </c>
      <c r="C2126" s="8" t="s">
        <v>7350</v>
      </c>
      <c r="D2126" s="9" t="s">
        <v>7351</v>
      </c>
      <c r="E2126" s="10" t="str">
        <f>HYPERLINK("https://twitter.com/cayetanosanch/status/1070776978221998082","1070776978221998082")</f>
        <v>1070776978221998082</v>
      </c>
      <c r="F2126" s="18" t="s">
        <v>7352</v>
      </c>
      <c r="G2126" s="12" t="s">
        <v>7353</v>
      </c>
      <c r="H2126" s="11"/>
      <c r="I2126" s="13">
        <v>0</v>
      </c>
      <c r="J2126" s="13">
        <v>0</v>
      </c>
      <c r="K2126" s="14" t="str">
        <f t="shared" si="364"/>
        <v>Twitter Web Client</v>
      </c>
      <c r="L2126" s="13">
        <v>34</v>
      </c>
      <c r="M2126" s="13">
        <v>92</v>
      </c>
      <c r="N2126" s="13">
        <v>0</v>
      </c>
      <c r="O2126" s="15"/>
      <c r="P2126" s="6">
        <v>41838.378310185188</v>
      </c>
      <c r="Q2126" s="18" t="s">
        <v>404</v>
      </c>
      <c r="R2126" s="17"/>
      <c r="S2126" s="11"/>
      <c r="T2126" s="11"/>
      <c r="U2126" s="10" t="str">
        <f>HYPERLINK("https://pbs.twimg.com/profile_images/1032018359989223428/LtHyU_U7.jpg","View")</f>
        <v>View</v>
      </c>
    </row>
    <row r="2127" spans="1:21" ht="51">
      <c r="A2127" s="6">
        <v>43440.894282407404</v>
      </c>
      <c r="B2127" s="7" t="str">
        <f>HYPERLINK("https://twitter.com/Ladydisplay","@Ladydisplay")</f>
        <v>@Ladydisplay</v>
      </c>
      <c r="C2127" s="8" t="s">
        <v>4226</v>
      </c>
      <c r="D2127" s="9" t="s">
        <v>4227</v>
      </c>
      <c r="E2127" s="10" t="str">
        <f>HYPERLINK("https://twitter.com/Ladydisplay/status/1070776835435311104","1070776835435311104")</f>
        <v>1070776835435311104</v>
      </c>
      <c r="F2127" s="11"/>
      <c r="G2127" s="11"/>
      <c r="H2127" s="11"/>
      <c r="I2127" s="13">
        <v>0</v>
      </c>
      <c r="J2127" s="13">
        <v>0</v>
      </c>
      <c r="K2127" s="14" t="str">
        <f>HYPERLINK("https://mobile.twitter.com","Twitter Lite")</f>
        <v>Twitter Lite</v>
      </c>
      <c r="L2127" s="13">
        <v>34</v>
      </c>
      <c r="M2127" s="13">
        <v>194</v>
      </c>
      <c r="N2127" s="13">
        <v>0</v>
      </c>
      <c r="O2127" s="15"/>
      <c r="P2127" s="6">
        <v>41623.040879629625</v>
      </c>
      <c r="Q2127" s="11"/>
      <c r="R2127" s="19" t="s">
        <v>4229</v>
      </c>
      <c r="S2127" s="11"/>
      <c r="T2127" s="11"/>
      <c r="U2127" s="10" t="str">
        <f>HYPERLINK("https://pbs.twimg.com/profile_images/878769130618355713/ZZYA7a0h.jpg","View")</f>
        <v>View</v>
      </c>
    </row>
    <row r="2128" spans="1:21" ht="40.799999999999997">
      <c r="A2128" s="6">
        <v>43440.893506944441</v>
      </c>
      <c r="B2128" s="7" t="str">
        <f>HYPERLINK("https://twitter.com/tenshinoyariman","@tenshinoyariman")</f>
        <v>@tenshinoyariman</v>
      </c>
      <c r="C2128" s="8" t="s">
        <v>4232</v>
      </c>
      <c r="D2128" s="9" t="s">
        <v>4233</v>
      </c>
      <c r="E2128" s="10" t="str">
        <f>HYPERLINK("https://twitter.com/tenshinoyariman/status/1070776553477427206","1070776553477427206")</f>
        <v>1070776553477427206</v>
      </c>
      <c r="F2128" s="11"/>
      <c r="G2128" s="11"/>
      <c r="H2128" s="11"/>
      <c r="I2128" s="13">
        <v>1</v>
      </c>
      <c r="J2128" s="13">
        <v>3</v>
      </c>
      <c r="K2128" s="14" t="str">
        <f>HYPERLINK("http://twitter.com","Twitter Web Client")</f>
        <v>Twitter Web Client</v>
      </c>
      <c r="L2128" s="13">
        <v>992</v>
      </c>
      <c r="M2128" s="13">
        <v>82</v>
      </c>
      <c r="N2128" s="13">
        <v>17</v>
      </c>
      <c r="O2128" s="15"/>
      <c r="P2128" s="6">
        <v>42178.759606481486</v>
      </c>
      <c r="Q2128" s="11"/>
      <c r="R2128" s="19" t="s">
        <v>4235</v>
      </c>
      <c r="S2128" s="11"/>
      <c r="T2128" s="11"/>
      <c r="U2128" s="10" t="str">
        <f>HYPERLINK("https://pbs.twimg.com/profile_images/875463423710162945/_ZnvrXIk.jpg","View")</f>
        <v>View</v>
      </c>
    </row>
    <row r="2129" spans="1:21" ht="51">
      <c r="A2129" s="6">
        <v>43440.893090277779</v>
      </c>
      <c r="B2129" s="7" t="str">
        <f>HYPERLINK("https://twitter.com/SantosAgrela","@SantosAgrela")</f>
        <v>@SantosAgrela</v>
      </c>
      <c r="C2129" s="8" t="s">
        <v>7354</v>
      </c>
      <c r="D2129" s="9" t="s">
        <v>7355</v>
      </c>
      <c r="E2129" s="10" t="str">
        <f>HYPERLINK("https://twitter.com/SantosAgrela/status/1070776404873220096","1070776404873220096")</f>
        <v>1070776404873220096</v>
      </c>
      <c r="F2129" s="11"/>
      <c r="G2129" s="11"/>
      <c r="H2129" s="11"/>
      <c r="I2129" s="13">
        <v>5</v>
      </c>
      <c r="J2129" s="13">
        <v>11</v>
      </c>
      <c r="K2129" s="14" t="str">
        <f>HYPERLINK("http://twitter.com/download/iphone","Twitter for iPhone")</f>
        <v>Twitter for iPhone</v>
      </c>
      <c r="L2129" s="13">
        <v>2134</v>
      </c>
      <c r="M2129" s="13">
        <v>1991</v>
      </c>
      <c r="N2129" s="13">
        <v>53</v>
      </c>
      <c r="O2129" s="15"/>
      <c r="P2129" s="6">
        <v>40946.93540509259</v>
      </c>
      <c r="Q2129" s="18" t="s">
        <v>2020</v>
      </c>
      <c r="R2129" s="19" t="s">
        <v>7356</v>
      </c>
      <c r="S2129" s="11"/>
      <c r="T2129" s="11"/>
      <c r="U2129" s="10" t="str">
        <f>HYPERLINK("https://pbs.twimg.com/profile_images/513442626163736576/POImG06G.jpeg","View")</f>
        <v>View</v>
      </c>
    </row>
    <row r="2130" spans="1:21" ht="51">
      <c r="A2130" s="6">
        <v>43440.892777777779</v>
      </c>
      <c r="B2130" s="7" t="str">
        <f>HYPERLINK("https://twitter.com/arriramaria","@arriramaria")</f>
        <v>@arriramaria</v>
      </c>
      <c r="C2130" s="8" t="s">
        <v>7357</v>
      </c>
      <c r="D2130" s="9" t="s">
        <v>7358</v>
      </c>
      <c r="E2130" s="10" t="str">
        <f>HYPERLINK("https://twitter.com/arriramaria/status/1070776291190808577","1070776291190808577")</f>
        <v>1070776291190808577</v>
      </c>
      <c r="F2130" s="11"/>
      <c r="G2130" s="11"/>
      <c r="H2130" s="11"/>
      <c r="I2130" s="13">
        <v>1</v>
      </c>
      <c r="J2130" s="13">
        <v>1</v>
      </c>
      <c r="K2130" s="14" t="str">
        <f>HYPERLINK("http://twitter.com/download/android","Twitter for Android")</f>
        <v>Twitter for Android</v>
      </c>
      <c r="L2130" s="13">
        <v>812</v>
      </c>
      <c r="M2130" s="13">
        <v>993</v>
      </c>
      <c r="N2130" s="13">
        <v>52</v>
      </c>
      <c r="O2130" s="15"/>
      <c r="P2130" s="6">
        <v>41092.995740740742</v>
      </c>
      <c r="Q2130" s="11"/>
      <c r="R2130" s="19" t="s">
        <v>7359</v>
      </c>
      <c r="S2130" s="11"/>
      <c r="T2130" s="11"/>
      <c r="U2130" s="10" t="str">
        <f>HYPERLINK("https://pbs.twimg.com/profile_images/786457333010468864/vxJo9rW1.jpg","View")</f>
        <v>View</v>
      </c>
    </row>
    <row r="2131" spans="1:21" ht="40.799999999999997">
      <c r="A2131" s="6">
        <v>43440.892407407402</v>
      </c>
      <c r="B2131" s="7" t="str">
        <f>HYPERLINK("https://twitter.com/EscarlataOhara4","@EscarlataOhara4")</f>
        <v>@EscarlataOhara4</v>
      </c>
      <c r="C2131" s="8" t="s">
        <v>7360</v>
      </c>
      <c r="D2131" s="9" t="s">
        <v>7361</v>
      </c>
      <c r="E2131" s="10" t="str">
        <f>HYPERLINK("https://twitter.com/EscarlataOhara4/status/1070776158248206336","1070776158248206336")</f>
        <v>1070776158248206336</v>
      </c>
      <c r="F2131" s="11"/>
      <c r="G2131" s="11"/>
      <c r="H2131" s="11"/>
      <c r="I2131" s="13">
        <v>0</v>
      </c>
      <c r="J2131" s="13">
        <v>0</v>
      </c>
      <c r="K2131" s="14" t="str">
        <f>HYPERLINK("http://twitter.com/download/iphone","Twitter for iPhone")</f>
        <v>Twitter for iPhone</v>
      </c>
      <c r="L2131" s="13">
        <v>327</v>
      </c>
      <c r="M2131" s="13">
        <v>404</v>
      </c>
      <c r="N2131" s="13">
        <v>0</v>
      </c>
      <c r="O2131" s="15"/>
      <c r="P2131" s="6">
        <v>43276.90116898148</v>
      </c>
      <c r="Q2131" s="18" t="s">
        <v>42</v>
      </c>
      <c r="R2131" s="19" t="s">
        <v>7362</v>
      </c>
      <c r="S2131" s="11"/>
      <c r="T2131" s="11"/>
      <c r="U2131" s="10" t="str">
        <f>HYPERLINK("https://pbs.twimg.com/profile_images/1018229217585135616/qT-gfpcE.jpg","View")</f>
        <v>View</v>
      </c>
    </row>
    <row r="2132" spans="1:21" ht="40.799999999999997">
      <c r="A2132" s="6">
        <v>43440.89225694444</v>
      </c>
      <c r="B2132" s="7" t="str">
        <f>HYPERLINK("https://twitter.com/lmpg_twi","@lmpg_twi")</f>
        <v>@lmpg_twi</v>
      </c>
      <c r="C2132" s="8" t="s">
        <v>352</v>
      </c>
      <c r="D2132" s="9" t="s">
        <v>4237</v>
      </c>
      <c r="E2132" s="10" t="str">
        <f>HYPERLINK("https://twitter.com/lmpg_twi/status/1070776102623289347","1070776102623289347")</f>
        <v>1070776102623289347</v>
      </c>
      <c r="F2132" s="12" t="s">
        <v>4240</v>
      </c>
      <c r="G2132" s="11"/>
      <c r="H2132" s="11"/>
      <c r="I2132" s="13">
        <v>0</v>
      </c>
      <c r="J2132" s="13">
        <v>0</v>
      </c>
      <c r="K2132" s="14" t="str">
        <f>HYPERLINK("http://twitter.com","Twitter Web Client")</f>
        <v>Twitter Web Client</v>
      </c>
      <c r="L2132" s="13">
        <v>1404</v>
      </c>
      <c r="M2132" s="13">
        <v>1613</v>
      </c>
      <c r="N2132" s="13">
        <v>34</v>
      </c>
      <c r="O2132" s="15"/>
      <c r="P2132" s="6">
        <v>41302.5153587963</v>
      </c>
      <c r="Q2132" s="11"/>
      <c r="R2132" s="19" t="s">
        <v>358</v>
      </c>
      <c r="S2132" s="11"/>
      <c r="T2132" s="11"/>
      <c r="U2132" s="10" t="str">
        <f>HYPERLINK("https://pbs.twimg.com/profile_images/1069918574276476928/cr5_v3Eg.jpg","View")</f>
        <v>View</v>
      </c>
    </row>
    <row r="2133" spans="1:21" ht="30.6">
      <c r="A2133" s="6">
        <v>43440.892048611116</v>
      </c>
      <c r="B2133" s="7" t="str">
        <f>HYPERLINK("https://twitter.com/Mulillero","@Mulillero")</f>
        <v>@Mulillero</v>
      </c>
      <c r="C2133" s="8" t="s">
        <v>4243</v>
      </c>
      <c r="D2133" s="9" t="s">
        <v>4244</v>
      </c>
      <c r="E2133" s="10" t="str">
        <f>HYPERLINK("https://twitter.com/Mulillero/status/1070776026534416384","1070776026534416384")</f>
        <v>1070776026534416384</v>
      </c>
      <c r="F2133" s="11"/>
      <c r="G2133" s="12" t="s">
        <v>4245</v>
      </c>
      <c r="H2133" s="11"/>
      <c r="I2133" s="13">
        <v>15</v>
      </c>
      <c r="J2133" s="13">
        <v>37</v>
      </c>
      <c r="K2133" s="14" t="str">
        <f>HYPERLINK("http://twitter.com/download/android","Twitter for Android")</f>
        <v>Twitter for Android</v>
      </c>
      <c r="L2133" s="13">
        <v>4617</v>
      </c>
      <c r="M2133" s="13">
        <v>1554</v>
      </c>
      <c r="N2133" s="13">
        <v>31</v>
      </c>
      <c r="O2133" s="15"/>
      <c r="P2133" s="6">
        <v>40581.341273148151</v>
      </c>
      <c r="Q2133" s="18" t="s">
        <v>715</v>
      </c>
      <c r="R2133" s="19" t="s">
        <v>4246</v>
      </c>
      <c r="S2133" s="12" t="s">
        <v>4247</v>
      </c>
      <c r="T2133" s="11"/>
      <c r="U2133" s="10" t="str">
        <f>HYPERLINK("https://pbs.twimg.com/profile_images/997901111620194305/teL9zWK_.jpg","View")</f>
        <v>View</v>
      </c>
    </row>
    <row r="2134" spans="1:21" ht="20.399999999999999">
      <c r="A2134" s="6">
        <v>43440.890914351854</v>
      </c>
      <c r="B2134" s="7" t="str">
        <f>HYPERLINK("https://twitter.com/cuartopoder","@cuartopoder")</f>
        <v>@cuartopoder</v>
      </c>
      <c r="C2134" s="22" t="s">
        <v>4248</v>
      </c>
      <c r="D2134" s="9" t="s">
        <v>4250</v>
      </c>
      <c r="E2134" s="10" t="str">
        <f>HYPERLINK("https://twitter.com/cuartopoder/status/1070775616574775296","1070775616574775296")</f>
        <v>1070775616574775296</v>
      </c>
      <c r="F2134" s="12" t="s">
        <v>4252</v>
      </c>
      <c r="G2134" s="11"/>
      <c r="H2134" s="11"/>
      <c r="I2134" s="13">
        <v>2</v>
      </c>
      <c r="J2134" s="13">
        <v>4</v>
      </c>
      <c r="K2134" s="14" t="str">
        <f t="shared" ref="K2134:K2135" si="365">HYPERLINK("http://twitter.com","Twitter Web Client")</f>
        <v>Twitter Web Client</v>
      </c>
      <c r="L2134" s="13">
        <v>53224</v>
      </c>
      <c r="M2134" s="13">
        <v>892</v>
      </c>
      <c r="N2134" s="13">
        <v>2358</v>
      </c>
      <c r="O2134" s="15"/>
      <c r="P2134" s="6">
        <v>39890.807442129633</v>
      </c>
      <c r="Q2134" s="18" t="s">
        <v>173</v>
      </c>
      <c r="R2134" s="19" t="s">
        <v>4254</v>
      </c>
      <c r="S2134" s="12" t="s">
        <v>4255</v>
      </c>
      <c r="T2134" s="11"/>
      <c r="U2134" s="10" t="str">
        <f>HYPERLINK("https://pbs.twimg.com/profile_images/991918953978126336/Hz3kVoUk.jpg","View")</f>
        <v>View</v>
      </c>
    </row>
    <row r="2135" spans="1:21" ht="51">
      <c r="A2135" s="6">
        <v>43440.890011574069</v>
      </c>
      <c r="B2135" s="7" t="str">
        <f>HYPERLINK("https://twitter.com/rumbopropio","@rumbopropio")</f>
        <v>@rumbopropio</v>
      </c>
      <c r="C2135" s="8" t="s">
        <v>1469</v>
      </c>
      <c r="D2135" s="9" t="s">
        <v>7363</v>
      </c>
      <c r="E2135" s="10" t="str">
        <f>HYPERLINK("https://twitter.com/rumbopropio/status/1070775287787479040","1070775287787479040")</f>
        <v>1070775287787479040</v>
      </c>
      <c r="F2135" s="11"/>
      <c r="G2135" s="12" t="s">
        <v>7364</v>
      </c>
      <c r="H2135" s="11"/>
      <c r="I2135" s="13">
        <v>21</v>
      </c>
      <c r="J2135" s="13">
        <v>13</v>
      </c>
      <c r="K2135" s="14" t="str">
        <f t="shared" si="365"/>
        <v>Twitter Web Client</v>
      </c>
      <c r="L2135" s="13">
        <v>3583</v>
      </c>
      <c r="M2135" s="13">
        <v>4041</v>
      </c>
      <c r="N2135" s="13">
        <v>12</v>
      </c>
      <c r="O2135" s="15"/>
      <c r="P2135" s="6">
        <v>43013.637986111113</v>
      </c>
      <c r="Q2135" s="11"/>
      <c r="R2135" s="19" t="s">
        <v>1479</v>
      </c>
      <c r="S2135" s="12" t="s">
        <v>1480</v>
      </c>
      <c r="T2135" s="11"/>
      <c r="U2135" s="10" t="str">
        <f>HYPERLINK("https://pbs.twimg.com/profile_images/1033058023047094273/qLVg_bIn.jpg","View")</f>
        <v>View</v>
      </c>
    </row>
    <row r="2136" spans="1:21" ht="40.799999999999997">
      <c r="A2136" s="6">
        <v>43440.889976851853</v>
      </c>
      <c r="B2136" s="7" t="str">
        <f>HYPERLINK("https://twitter.com/ShoutChance","@ShoutChance")</f>
        <v>@ShoutChance</v>
      </c>
      <c r="C2136" s="8" t="s">
        <v>7365</v>
      </c>
      <c r="D2136" s="9" t="s">
        <v>7366</v>
      </c>
      <c r="E2136" s="10" t="str">
        <f>HYPERLINK("https://twitter.com/ShoutChance/status/1070775278081839105","1070775278081839105")</f>
        <v>1070775278081839105</v>
      </c>
      <c r="F2136" s="11"/>
      <c r="G2136" s="11"/>
      <c r="H2136" s="11"/>
      <c r="I2136" s="13">
        <v>0</v>
      </c>
      <c r="J2136" s="13">
        <v>0</v>
      </c>
      <c r="K2136" s="14" t="str">
        <f t="shared" ref="K2136:K2137" si="366">HYPERLINK("http://twitter.com/download/android","Twitter for Android")</f>
        <v>Twitter for Android</v>
      </c>
      <c r="L2136" s="13">
        <v>197</v>
      </c>
      <c r="M2136" s="13">
        <v>815</v>
      </c>
      <c r="N2136" s="13">
        <v>8</v>
      </c>
      <c r="O2136" s="15"/>
      <c r="P2136" s="6">
        <v>40690.790370370371</v>
      </c>
      <c r="Q2136" s="18" t="s">
        <v>42</v>
      </c>
      <c r="R2136" s="19" t="s">
        <v>7367</v>
      </c>
      <c r="S2136" s="11"/>
      <c r="T2136" s="11"/>
      <c r="U2136" s="10" t="str">
        <f>HYPERLINK("https://pbs.twimg.com/profile_images/1032669674679558144/d06biL6-.jpg","View")</f>
        <v>View</v>
      </c>
    </row>
    <row r="2137" spans="1:21" ht="51">
      <c r="A2137" s="6">
        <v>43440.889907407407</v>
      </c>
      <c r="B2137" s="7" t="str">
        <f>HYPERLINK("https://twitter.com/qqqqetru","@qqqqetru")</f>
        <v>@qqqqetru</v>
      </c>
      <c r="C2137" s="8" t="s">
        <v>127</v>
      </c>
      <c r="D2137" s="9" t="s">
        <v>7368</v>
      </c>
      <c r="E2137" s="10" t="str">
        <f>HYPERLINK("https://twitter.com/qqqqetru/status/1070775250114277376","1070775250114277376")</f>
        <v>1070775250114277376</v>
      </c>
      <c r="F2137" s="11"/>
      <c r="G2137" s="11"/>
      <c r="H2137" s="11"/>
      <c r="I2137" s="13">
        <v>0</v>
      </c>
      <c r="J2137" s="13">
        <v>0</v>
      </c>
      <c r="K2137" s="14" t="str">
        <f t="shared" si="366"/>
        <v>Twitter for Android</v>
      </c>
      <c r="L2137" s="13">
        <v>649</v>
      </c>
      <c r="M2137" s="13">
        <v>1194</v>
      </c>
      <c r="N2137" s="13">
        <v>2</v>
      </c>
      <c r="O2137" s="15"/>
      <c r="P2137" s="6">
        <v>40749.437719907408</v>
      </c>
      <c r="Q2137" s="11"/>
      <c r="R2137" s="17"/>
      <c r="S2137" s="11"/>
      <c r="T2137" s="11"/>
      <c r="U2137" s="10" t="str">
        <f>HYPERLINK("https://pbs.twimg.com/profile_images/1069734331780870144/d_KYpBFy.jpg","View")</f>
        <v>View</v>
      </c>
    </row>
    <row r="2138" spans="1:21" ht="30.6">
      <c r="A2138" s="6">
        <v>43440.889872685184</v>
      </c>
      <c r="B2138" s="7" t="str">
        <f>HYPERLINK("https://twitter.com/manolo_gea","@manolo_gea")</f>
        <v>@manolo_gea</v>
      </c>
      <c r="C2138" s="8" t="s">
        <v>4258</v>
      </c>
      <c r="D2138" s="9" t="s">
        <v>4259</v>
      </c>
      <c r="E2138" s="10" t="str">
        <f>HYPERLINK("https://twitter.com/manolo_gea/status/1070775236323360768","1070775236323360768")</f>
        <v>1070775236323360768</v>
      </c>
      <c r="F2138" s="11"/>
      <c r="G2138" s="11"/>
      <c r="H2138" s="11"/>
      <c r="I2138" s="13">
        <v>0</v>
      </c>
      <c r="J2138" s="13">
        <v>1</v>
      </c>
      <c r="K2138" s="14" t="str">
        <f t="shared" ref="K2138:K2141" si="367">HYPERLINK("http://twitter.com/download/iphone","Twitter for iPhone")</f>
        <v>Twitter for iPhone</v>
      </c>
      <c r="L2138" s="13">
        <v>133</v>
      </c>
      <c r="M2138" s="13">
        <v>320</v>
      </c>
      <c r="N2138" s="13">
        <v>1</v>
      </c>
      <c r="O2138" s="15"/>
      <c r="P2138" s="6">
        <v>40875.515405092592</v>
      </c>
      <c r="Q2138" s="18" t="s">
        <v>4261</v>
      </c>
      <c r="R2138" s="19" t="s">
        <v>4262</v>
      </c>
      <c r="S2138" s="11"/>
      <c r="T2138" s="11"/>
      <c r="U2138" s="10" t="str">
        <f>HYPERLINK("https://pbs.twimg.com/profile_images/786645541514084352/1tS-4iwV.jpg","View")</f>
        <v>View</v>
      </c>
    </row>
    <row r="2139" spans="1:21" ht="40.799999999999997">
      <c r="A2139" s="6">
        <v>43440.889803240745</v>
      </c>
      <c r="B2139" s="7" t="str">
        <f>HYPERLINK("https://twitter.com/CaracolGuerrero","@CaracolGuerrero")</f>
        <v>@CaracolGuerrero</v>
      </c>
      <c r="C2139" s="8" t="s">
        <v>4263</v>
      </c>
      <c r="D2139" s="9" t="s">
        <v>4264</v>
      </c>
      <c r="E2139" s="10" t="str">
        <f>HYPERLINK("https://twitter.com/CaracolGuerrero/status/1070775213669920768","1070775213669920768")</f>
        <v>1070775213669920768</v>
      </c>
      <c r="F2139" s="12" t="s">
        <v>4265</v>
      </c>
      <c r="G2139" s="11"/>
      <c r="H2139" s="11"/>
      <c r="I2139" s="13">
        <v>0</v>
      </c>
      <c r="J2139" s="13">
        <v>0</v>
      </c>
      <c r="K2139" s="14" t="str">
        <f t="shared" si="367"/>
        <v>Twitter for iPhone</v>
      </c>
      <c r="L2139" s="13">
        <v>29</v>
      </c>
      <c r="M2139" s="13">
        <v>294</v>
      </c>
      <c r="N2139" s="13">
        <v>1</v>
      </c>
      <c r="O2139" s="15"/>
      <c r="P2139" s="6">
        <v>40702.86928240741</v>
      </c>
      <c r="Q2139" s="18" t="s">
        <v>1325</v>
      </c>
      <c r="R2139" s="19" t="s">
        <v>4266</v>
      </c>
      <c r="S2139" s="11"/>
      <c r="T2139" s="11"/>
      <c r="U2139" s="10" t="str">
        <f>HYPERLINK("https://pbs.twimg.com/profile_images/1391010637/Copia_de_el-caracol-metalico.jpg","View")</f>
        <v>View</v>
      </c>
    </row>
    <row r="2140" spans="1:21" ht="61.2">
      <c r="A2140" s="6">
        <v>43440.889780092592</v>
      </c>
      <c r="B2140" s="7" t="str">
        <f>HYPERLINK("https://twitter.com/ALANET10","@ALANET10")</f>
        <v>@ALANET10</v>
      </c>
      <c r="C2140" s="8" t="s">
        <v>4269</v>
      </c>
      <c r="D2140" s="9" t="s">
        <v>4270</v>
      </c>
      <c r="E2140" s="10" t="str">
        <f>HYPERLINK("https://twitter.com/ALANET10/status/1070775205373640710","1070775205373640710")</f>
        <v>1070775205373640710</v>
      </c>
      <c r="F2140" s="18" t="s">
        <v>4273</v>
      </c>
      <c r="G2140" s="11"/>
      <c r="H2140" s="11"/>
      <c r="I2140" s="13">
        <v>0</v>
      </c>
      <c r="J2140" s="13">
        <v>0</v>
      </c>
      <c r="K2140" s="14" t="str">
        <f t="shared" si="367"/>
        <v>Twitter for iPhone</v>
      </c>
      <c r="L2140" s="13">
        <v>261</v>
      </c>
      <c r="M2140" s="13">
        <v>587</v>
      </c>
      <c r="N2140" s="13">
        <v>3</v>
      </c>
      <c r="O2140" s="15"/>
      <c r="P2140" s="6">
        <v>40844.771504629629</v>
      </c>
      <c r="Q2140" s="18" t="s">
        <v>42</v>
      </c>
      <c r="R2140" s="19" t="s">
        <v>4275</v>
      </c>
      <c r="S2140" s="11"/>
      <c r="T2140" s="11"/>
      <c r="U2140" s="10" t="str">
        <f>HYPERLINK("https://pbs.twimg.com/profile_images/638358160558923776/HJEFezFI.jpg","View")</f>
        <v>View</v>
      </c>
    </row>
    <row r="2141" spans="1:21" ht="81.599999999999994">
      <c r="A2141" s="6">
        <v>43440.889768518522</v>
      </c>
      <c r="B2141" s="7" t="str">
        <f>HYPERLINK("https://twitter.com/MagdaQR","@MagdaQR")</f>
        <v>@MagdaQR</v>
      </c>
      <c r="C2141" s="8" t="s">
        <v>1481</v>
      </c>
      <c r="D2141" s="9" t="s">
        <v>4277</v>
      </c>
      <c r="E2141" s="10" t="str">
        <f>HYPERLINK("https://twitter.com/MagdaQR/status/1070775200759906306","1070775200759906306")</f>
        <v>1070775200759906306</v>
      </c>
      <c r="F2141" s="12" t="s">
        <v>4278</v>
      </c>
      <c r="G2141" s="11"/>
      <c r="H2141" s="11"/>
      <c r="I2141" s="13">
        <v>0</v>
      </c>
      <c r="J2141" s="13">
        <v>1</v>
      </c>
      <c r="K2141" s="14" t="str">
        <f t="shared" si="367"/>
        <v>Twitter for iPhone</v>
      </c>
      <c r="L2141" s="13">
        <v>183</v>
      </c>
      <c r="M2141" s="13">
        <v>425</v>
      </c>
      <c r="N2141" s="13">
        <v>9</v>
      </c>
      <c r="O2141" s="15"/>
      <c r="P2141" s="6">
        <v>41292.960891203707</v>
      </c>
      <c r="Q2141" s="11"/>
      <c r="R2141" s="19" t="s">
        <v>1484</v>
      </c>
      <c r="S2141" s="11"/>
      <c r="T2141" s="11"/>
      <c r="U2141" s="10" t="str">
        <f>HYPERLINK("https://pbs.twimg.com/profile_images/1017165496280666112/YVBuLPNe.jpg","View")</f>
        <v>View</v>
      </c>
    </row>
    <row r="2142" spans="1:21" ht="30.6">
      <c r="A2142" s="6">
        <v>43440.889756944445</v>
      </c>
      <c r="B2142" s="7" t="str">
        <f>HYPERLINK("https://twitter.com/martiescriu","@martiescriu")</f>
        <v>@martiescriu</v>
      </c>
      <c r="C2142" s="8" t="s">
        <v>7369</v>
      </c>
      <c r="D2142" s="9" t="s">
        <v>7370</v>
      </c>
      <c r="E2142" s="10" t="str">
        <f>HYPERLINK("https://twitter.com/martiescriu/status/1070775196389380097","1070775196389380097")</f>
        <v>1070775196389380097</v>
      </c>
      <c r="F2142" s="11"/>
      <c r="G2142" s="11"/>
      <c r="H2142" s="11"/>
      <c r="I2142" s="13">
        <v>0</v>
      </c>
      <c r="J2142" s="13">
        <v>1</v>
      </c>
      <c r="K2142" s="14" t="str">
        <f t="shared" ref="K2142:K2143" si="368">HYPERLINK("http://twitter.com/download/android","Twitter for Android")</f>
        <v>Twitter for Android</v>
      </c>
      <c r="L2142" s="13">
        <v>1049</v>
      </c>
      <c r="M2142" s="13">
        <v>301</v>
      </c>
      <c r="N2142" s="13">
        <v>27</v>
      </c>
      <c r="O2142" s="15"/>
      <c r="P2142" s="6">
        <v>41417.706342592595</v>
      </c>
      <c r="Q2142" s="18" t="s">
        <v>7371</v>
      </c>
      <c r="R2142" s="19" t="s">
        <v>7372</v>
      </c>
      <c r="S2142" s="11"/>
      <c r="T2142" s="11"/>
      <c r="U2142" s="10" t="str">
        <f>HYPERLINK("https://pbs.twimg.com/profile_images/1069656352996380674/WEtJ8hRX.jpg","View")</f>
        <v>View</v>
      </c>
    </row>
    <row r="2143" spans="1:21" ht="61.2">
      <c r="A2143" s="6">
        <v>43440.889456018514</v>
      </c>
      <c r="B2143" s="7" t="str">
        <f>HYPERLINK("https://twitter.com/jbengoa","@jbengoa")</f>
        <v>@jbengoa</v>
      </c>
      <c r="C2143" s="8" t="s">
        <v>7373</v>
      </c>
      <c r="D2143" s="9" t="s">
        <v>7374</v>
      </c>
      <c r="E2143" s="10" t="str">
        <f>HYPERLINK("https://twitter.com/jbengoa/status/1070775085592645633","1070775085592645633")</f>
        <v>1070775085592645633</v>
      </c>
      <c r="F2143" s="12" t="s">
        <v>7375</v>
      </c>
      <c r="G2143" s="12" t="s">
        <v>4909</v>
      </c>
      <c r="H2143" s="11"/>
      <c r="I2143" s="13">
        <v>0</v>
      </c>
      <c r="J2143" s="13">
        <v>0</v>
      </c>
      <c r="K2143" s="14" t="str">
        <f t="shared" si="368"/>
        <v>Twitter for Android</v>
      </c>
      <c r="L2143" s="13">
        <v>328</v>
      </c>
      <c r="M2143" s="13">
        <v>301</v>
      </c>
      <c r="N2143" s="13">
        <v>4</v>
      </c>
      <c r="O2143" s="15"/>
      <c r="P2143" s="6">
        <v>39939.13140046296</v>
      </c>
      <c r="Q2143" s="18" t="s">
        <v>1230</v>
      </c>
      <c r="R2143" s="17"/>
      <c r="S2143" s="11"/>
      <c r="T2143" s="11"/>
      <c r="U2143" s="10" t="str">
        <f>HYPERLINK("https://pbs.twimg.com/profile_images/975759670550855680/9TlU9tZ8.jpg","View")</f>
        <v>View</v>
      </c>
    </row>
    <row r="2144" spans="1:21" ht="51">
      <c r="A2144" s="6">
        <v>43440.889236111107</v>
      </c>
      <c r="B2144" s="7" t="str">
        <f>HYPERLINK("https://twitter.com/ismagosa","@ismagosa")</f>
        <v>@ismagosa</v>
      </c>
      <c r="C2144" s="8" t="s">
        <v>7376</v>
      </c>
      <c r="D2144" s="9" t="s">
        <v>7377</v>
      </c>
      <c r="E2144" s="10" t="str">
        <f>HYPERLINK("https://twitter.com/ismagosa/status/1070775006483886080","1070775006483886080")</f>
        <v>1070775006483886080</v>
      </c>
      <c r="F2144" s="12" t="s">
        <v>7378</v>
      </c>
      <c r="G2144" s="12" t="s">
        <v>7379</v>
      </c>
      <c r="H2144" s="11"/>
      <c r="I2144" s="13">
        <v>5</v>
      </c>
      <c r="J2144" s="13">
        <v>7</v>
      </c>
      <c r="K2144" s="14" t="str">
        <f>HYPERLINK("http://twitter.com/#!/download/ipad","Twitter for iPad")</f>
        <v>Twitter for iPad</v>
      </c>
      <c r="L2144" s="13">
        <v>1341</v>
      </c>
      <c r="M2144" s="13">
        <v>1357</v>
      </c>
      <c r="N2144" s="13">
        <v>1</v>
      </c>
      <c r="O2144" s="15"/>
      <c r="P2144" s="6">
        <v>43011.941377314812</v>
      </c>
      <c r="Q2144" s="18" t="s">
        <v>6831</v>
      </c>
      <c r="R2144" s="19" t="s">
        <v>7380</v>
      </c>
      <c r="S2144" s="11"/>
      <c r="T2144" s="11"/>
      <c r="U2144" s="10" t="str">
        <f>HYPERLINK("https://pbs.twimg.com/profile_images/915314977904431104/ykmJ-aA-.jpg","View")</f>
        <v>View</v>
      </c>
    </row>
    <row r="2145" spans="1:21" ht="102">
      <c r="A2145" s="6">
        <v>43440.889131944445</v>
      </c>
      <c r="B2145" s="7" t="str">
        <f>HYPERLINK("https://twitter.com/LibertarismoC","@LibertarismoC")</f>
        <v>@LibertarismoC</v>
      </c>
      <c r="C2145" s="8" t="s">
        <v>7381</v>
      </c>
      <c r="D2145" s="9" t="s">
        <v>7382</v>
      </c>
      <c r="E2145" s="10" t="str">
        <f>HYPERLINK("https://twitter.com/LibertarismoC/status/1070774969620201472","1070774969620201472")</f>
        <v>1070774969620201472</v>
      </c>
      <c r="F2145" s="12" t="s">
        <v>7383</v>
      </c>
      <c r="G2145" s="11"/>
      <c r="H2145" s="11"/>
      <c r="I2145" s="13">
        <v>1</v>
      </c>
      <c r="J2145" s="13">
        <v>3</v>
      </c>
      <c r="K2145" s="14" t="str">
        <f>HYPERLINK("http://twitter.com/download/iphone","Twitter for iPhone")</f>
        <v>Twitter for iPhone</v>
      </c>
      <c r="L2145" s="13">
        <v>102</v>
      </c>
      <c r="M2145" s="13">
        <v>60</v>
      </c>
      <c r="N2145" s="13">
        <v>1</v>
      </c>
      <c r="O2145" s="15"/>
      <c r="P2145" s="6">
        <v>43250.784108796295</v>
      </c>
      <c r="Q2145" s="11"/>
      <c r="R2145" s="19" t="s">
        <v>7384</v>
      </c>
      <c r="S2145" s="11"/>
      <c r="T2145" s="11"/>
      <c r="U2145" s="10" t="str">
        <f>HYPERLINK("https://pbs.twimg.com/profile_images/1001868617116475392/cUZezhmY.jpg","View")</f>
        <v>View</v>
      </c>
    </row>
    <row r="2146" spans="1:21" ht="51">
      <c r="A2146" s="6">
        <v>43440.888981481483</v>
      </c>
      <c r="B2146" s="7" t="str">
        <f>HYPERLINK("https://twitter.com/JuanPombar","@JuanPombar")</f>
        <v>@JuanPombar</v>
      </c>
      <c r="C2146" s="8" t="s">
        <v>7385</v>
      </c>
      <c r="D2146" s="9" t="s">
        <v>7386</v>
      </c>
      <c r="E2146" s="10" t="str">
        <f>HYPERLINK("https://twitter.com/JuanPombar/status/1070774913835982848","1070774913835982848")</f>
        <v>1070774913835982848</v>
      </c>
      <c r="F2146" s="11"/>
      <c r="G2146" s="11"/>
      <c r="H2146" s="11"/>
      <c r="I2146" s="13">
        <v>0</v>
      </c>
      <c r="J2146" s="13">
        <v>1</v>
      </c>
      <c r="K2146" s="14" t="str">
        <f>HYPERLINK("http://twitter.com/download/android","Twitter for Android")</f>
        <v>Twitter for Android</v>
      </c>
      <c r="L2146" s="13">
        <v>1103</v>
      </c>
      <c r="M2146" s="13">
        <v>261</v>
      </c>
      <c r="N2146" s="13">
        <v>61</v>
      </c>
      <c r="O2146" s="15"/>
      <c r="P2146" s="6">
        <v>39907.894618055558</v>
      </c>
      <c r="Q2146" s="18" t="s">
        <v>7387</v>
      </c>
      <c r="R2146" s="19" t="s">
        <v>7388</v>
      </c>
      <c r="S2146" s="12" t="s">
        <v>7389</v>
      </c>
      <c r="T2146" s="11"/>
      <c r="U2146" s="10" t="str">
        <f>HYPERLINK("https://pbs.twimg.com/profile_images/1019524742511022080/QZ_29XOf.jpg","View")</f>
        <v>View</v>
      </c>
    </row>
    <row r="2147" spans="1:21" ht="40.799999999999997">
      <c r="A2147" s="6">
        <v>43440.888969907406</v>
      </c>
      <c r="B2147" s="7" t="str">
        <f>HYPERLINK("https://twitter.com/NicoleP34312553","@NicoleP34312553")</f>
        <v>@NicoleP34312553</v>
      </c>
      <c r="C2147" s="8" t="s">
        <v>188</v>
      </c>
      <c r="D2147" s="9" t="s">
        <v>4282</v>
      </c>
      <c r="E2147" s="10" t="str">
        <f>HYPERLINK("https://twitter.com/NicoleP34312553/status/1070774913110286341","1070774913110286341")</f>
        <v>1070774913110286341</v>
      </c>
      <c r="F2147" s="11"/>
      <c r="G2147" s="11"/>
      <c r="H2147" s="11"/>
      <c r="I2147" s="13">
        <v>25</v>
      </c>
      <c r="J2147" s="13">
        <v>52</v>
      </c>
      <c r="K2147" s="14" t="str">
        <f>HYPERLINK("https://mobile.twitter.com","Twitter Lite")</f>
        <v>Twitter Lite</v>
      </c>
      <c r="L2147" s="13">
        <v>926</v>
      </c>
      <c r="M2147" s="13">
        <v>1564</v>
      </c>
      <c r="N2147" s="13">
        <v>1</v>
      </c>
      <c r="O2147" s="15"/>
      <c r="P2147" s="6">
        <v>43398.700578703705</v>
      </c>
      <c r="Q2147" s="18" t="s">
        <v>195</v>
      </c>
      <c r="R2147" s="19" t="s">
        <v>196</v>
      </c>
      <c r="S2147" s="11"/>
      <c r="T2147" s="11"/>
      <c r="U2147" s="10" t="str">
        <f>HYPERLINK("https://pbs.twimg.com/profile_images/1065034431688265728/UuJs7FO7.jpg","View")</f>
        <v>View</v>
      </c>
    </row>
    <row r="2148" spans="1:21" ht="51">
      <c r="A2148" s="6">
        <v>43440.888831018514</v>
      </c>
      <c r="B2148" s="7" t="str">
        <f>HYPERLINK("https://twitter.com/ElTioPotongo","@ElTioPotongo")</f>
        <v>@ElTioPotongo</v>
      </c>
      <c r="C2148" s="8" t="s">
        <v>4286</v>
      </c>
      <c r="D2148" s="9" t="s">
        <v>4287</v>
      </c>
      <c r="E2148" s="10" t="str">
        <f>HYPERLINK("https://twitter.com/ElTioPotongo/status/1070774862044647429","1070774862044647429")</f>
        <v>1070774862044647429</v>
      </c>
      <c r="F2148" s="12" t="s">
        <v>4289</v>
      </c>
      <c r="G2148" s="11"/>
      <c r="H2148" s="11"/>
      <c r="I2148" s="13">
        <v>0</v>
      </c>
      <c r="J2148" s="13">
        <v>0</v>
      </c>
      <c r="K2148" s="14" t="str">
        <f>HYPERLINK("http://twitter.com/download/android","Twitter for Android")</f>
        <v>Twitter for Android</v>
      </c>
      <c r="L2148" s="13">
        <v>49</v>
      </c>
      <c r="M2148" s="13">
        <v>246</v>
      </c>
      <c r="N2148" s="13">
        <v>1</v>
      </c>
      <c r="O2148" s="15"/>
      <c r="P2148" s="6">
        <v>40983.01425925926</v>
      </c>
      <c r="Q2148" s="11"/>
      <c r="R2148" s="19" t="s">
        <v>4291</v>
      </c>
      <c r="S2148" s="11"/>
      <c r="T2148" s="11"/>
      <c r="U2148" s="10" t="str">
        <f>HYPERLINK("https://pbs.twimg.com/profile_images/479405475503816705/pOaJDnkW.jpeg","View")</f>
        <v>View</v>
      </c>
    </row>
    <row r="2149" spans="1:21" ht="20.399999999999999">
      <c r="A2149" s="6">
        <v>43440.888773148152</v>
      </c>
      <c r="B2149" s="7" t="str">
        <f>HYPERLINK("https://twitter.com/chesareval","@chesareval")</f>
        <v>@chesareval</v>
      </c>
      <c r="C2149" s="8" t="s">
        <v>4295</v>
      </c>
      <c r="D2149" s="9" t="s">
        <v>4297</v>
      </c>
      <c r="E2149" s="10" t="str">
        <f>HYPERLINK("https://twitter.com/chesareval/status/1070774841530351617","1070774841530351617")</f>
        <v>1070774841530351617</v>
      </c>
      <c r="F2149" s="11"/>
      <c r="G2149" s="11"/>
      <c r="H2149" s="11"/>
      <c r="I2149" s="13">
        <v>5</v>
      </c>
      <c r="J2149" s="13">
        <v>17</v>
      </c>
      <c r="K2149" s="14" t="str">
        <f t="shared" ref="K2149:K2150" si="369">HYPERLINK("http://twitter.com/download/iphone","Twitter for iPhone")</f>
        <v>Twitter for iPhone</v>
      </c>
      <c r="L2149" s="13">
        <v>1422</v>
      </c>
      <c r="M2149" s="13">
        <v>830</v>
      </c>
      <c r="N2149" s="13">
        <v>23</v>
      </c>
      <c r="O2149" s="15"/>
      <c r="P2149" s="6">
        <v>40706.473356481481</v>
      </c>
      <c r="Q2149" s="11"/>
      <c r="R2149" s="19" t="s">
        <v>4300</v>
      </c>
      <c r="S2149" s="11"/>
      <c r="T2149" s="11"/>
      <c r="U2149" s="10" t="str">
        <f>HYPERLINK("https://pbs.twimg.com/profile_images/378800000666072865/141f3aba9393818a39685b6a2e2bad67.jpeg","View")</f>
        <v>View</v>
      </c>
    </row>
    <row r="2150" spans="1:21" ht="51">
      <c r="A2150" s="6">
        <v>43440.888680555552</v>
      </c>
      <c r="B2150" s="7" t="str">
        <f>HYPERLINK("https://twitter.com/Jose_David_fdez","@Jose_David_fdez")</f>
        <v>@Jose_David_fdez</v>
      </c>
      <c r="C2150" s="8" t="s">
        <v>7390</v>
      </c>
      <c r="D2150" s="9" t="s">
        <v>7391</v>
      </c>
      <c r="E2150" s="10" t="str">
        <f>HYPERLINK("https://twitter.com/Jose_David_fdez/status/1070774805237063680","1070774805237063680")</f>
        <v>1070774805237063680</v>
      </c>
      <c r="F2150" s="11"/>
      <c r="G2150" s="11"/>
      <c r="H2150" s="11"/>
      <c r="I2150" s="13">
        <v>0</v>
      </c>
      <c r="J2150" s="13">
        <v>0</v>
      </c>
      <c r="K2150" s="14" t="str">
        <f t="shared" si="369"/>
        <v>Twitter for iPhone</v>
      </c>
      <c r="L2150" s="13">
        <v>50</v>
      </c>
      <c r="M2150" s="13">
        <v>99</v>
      </c>
      <c r="N2150" s="13">
        <v>0</v>
      </c>
      <c r="O2150" s="15"/>
      <c r="P2150" s="6">
        <v>40573.879259259258</v>
      </c>
      <c r="Q2150" s="18" t="s">
        <v>7392</v>
      </c>
      <c r="R2150" s="19" t="s">
        <v>7393</v>
      </c>
      <c r="S2150" s="11"/>
      <c r="T2150" s="11"/>
      <c r="U2150" s="10" t="str">
        <f>HYPERLINK("https://pbs.twimg.com/profile_images/1649361873/image.jpg","View")</f>
        <v>View</v>
      </c>
    </row>
    <row r="2151" spans="1:21" ht="20.399999999999999">
      <c r="A2151" s="6">
        <v>43440.888657407406</v>
      </c>
      <c r="B2151" s="7" t="str">
        <f>HYPERLINK("https://twitter.com/Miguelrmcfrbb","@Miguelrmcfrbb")</f>
        <v>@Miguelrmcfrbb</v>
      </c>
      <c r="C2151" s="8" t="s">
        <v>7394</v>
      </c>
      <c r="D2151" s="9" t="s">
        <v>7395</v>
      </c>
      <c r="E2151" s="10" t="str">
        <f>HYPERLINK("https://twitter.com/Miguelrmcfrbb/status/1070774799801167874","1070774799801167874")</f>
        <v>1070774799801167874</v>
      </c>
      <c r="F2151" s="11"/>
      <c r="G2151" s="11"/>
      <c r="H2151" s="11"/>
      <c r="I2151" s="13">
        <v>0</v>
      </c>
      <c r="J2151" s="13">
        <v>0</v>
      </c>
      <c r="K2151" s="14" t="str">
        <f>HYPERLINK("http://twitter.com/download/android","Twitter for Android")</f>
        <v>Twitter for Android</v>
      </c>
      <c r="L2151" s="13">
        <v>12</v>
      </c>
      <c r="M2151" s="13">
        <v>108</v>
      </c>
      <c r="N2151" s="13">
        <v>0</v>
      </c>
      <c r="O2151" s="15"/>
      <c r="P2151" s="6">
        <v>43440.554803240739</v>
      </c>
      <c r="Q2151" s="11"/>
      <c r="R2151" s="19" t="s">
        <v>7396</v>
      </c>
      <c r="S2151" s="11"/>
      <c r="T2151" s="11"/>
      <c r="U2151" s="10" t="str">
        <f>HYPERLINK("https://pbs.twimg.com/profile_images/1070654977599774722/RT8Fl-1j.jpg","View")</f>
        <v>View</v>
      </c>
    </row>
    <row r="2152" spans="1:21" ht="30.6">
      <c r="A2152" s="6">
        <v>43440.888518518521</v>
      </c>
      <c r="B2152" s="7" t="str">
        <f>HYPERLINK("https://twitter.com/perezpuerto52","@perezpuerto52")</f>
        <v>@perezpuerto52</v>
      </c>
      <c r="C2152" s="8" t="s">
        <v>4301</v>
      </c>
      <c r="D2152" s="9" t="s">
        <v>4302</v>
      </c>
      <c r="E2152" s="10" t="str">
        <f>HYPERLINK("https://twitter.com/perezpuerto52/status/1070774748458704897","1070774748458704897")</f>
        <v>1070774748458704897</v>
      </c>
      <c r="F2152" s="11"/>
      <c r="G2152" s="11"/>
      <c r="H2152" s="11"/>
      <c r="I2152" s="13">
        <v>0</v>
      </c>
      <c r="J2152" s="13">
        <v>2</v>
      </c>
      <c r="K2152" s="14" t="str">
        <f>HYPERLINK("http://twitter.com/download/iphone","Twitter for iPhone")</f>
        <v>Twitter for iPhone</v>
      </c>
      <c r="L2152" s="13">
        <v>1327</v>
      </c>
      <c r="M2152" s="13">
        <v>1906</v>
      </c>
      <c r="N2152" s="13">
        <v>6</v>
      </c>
      <c r="O2152" s="15"/>
      <c r="P2152" s="6">
        <v>40597.759236111109</v>
      </c>
      <c r="Q2152" s="18" t="s">
        <v>4303</v>
      </c>
      <c r="R2152" s="19" t="s">
        <v>4304</v>
      </c>
      <c r="S2152" s="11"/>
      <c r="T2152" s="11"/>
      <c r="U2152" s="10" t="str">
        <f>HYPERLINK("https://pbs.twimg.com/profile_images/477571201066622976/Agu6Vfbh.jpeg","View")</f>
        <v>View</v>
      </c>
    </row>
    <row r="2153" spans="1:21" ht="40.799999999999997">
      <c r="A2153" s="6">
        <v>43440.888483796298</v>
      </c>
      <c r="B2153" s="7" t="str">
        <f>HYPERLINK("https://twitter.com/JuanEscolan","@JuanEscolan")</f>
        <v>@JuanEscolan</v>
      </c>
      <c r="C2153" s="8" t="s">
        <v>6562</v>
      </c>
      <c r="D2153" s="9" t="s">
        <v>7397</v>
      </c>
      <c r="E2153" s="10" t="str">
        <f>HYPERLINK("https://twitter.com/JuanEscolan/status/1070774734957240320","1070774734957240320")</f>
        <v>1070774734957240320</v>
      </c>
      <c r="F2153" s="12" t="s">
        <v>7398</v>
      </c>
      <c r="G2153" s="11"/>
      <c r="H2153" s="11"/>
      <c r="I2153" s="13">
        <v>1</v>
      </c>
      <c r="J2153" s="13">
        <v>0</v>
      </c>
      <c r="K2153" s="14" t="str">
        <f t="shared" ref="K2153:K2155" si="370">HYPERLINK("http://twitter.com/download/android","Twitter for Android")</f>
        <v>Twitter for Android</v>
      </c>
      <c r="L2153" s="13">
        <v>35</v>
      </c>
      <c r="M2153" s="13">
        <v>166</v>
      </c>
      <c r="N2153" s="13">
        <v>0</v>
      </c>
      <c r="O2153" s="15"/>
      <c r="P2153" s="6">
        <v>42003.957905092597</v>
      </c>
      <c r="Q2153" s="18" t="s">
        <v>6564</v>
      </c>
      <c r="R2153" s="19" t="s">
        <v>6565</v>
      </c>
      <c r="S2153" s="11"/>
      <c r="T2153" s="11"/>
      <c r="U2153" s="10" t="str">
        <f>HYPERLINK("https://pbs.twimg.com/profile_images/676875867197480961/2mTPMpvg.jpg","View")</f>
        <v>View</v>
      </c>
    </row>
    <row r="2154" spans="1:21" ht="20.399999999999999">
      <c r="A2154" s="6">
        <v>43440.888425925921</v>
      </c>
      <c r="B2154" s="7" t="str">
        <f>HYPERLINK("https://twitter.com/Nosectariosplis","@Nosectariosplis")</f>
        <v>@Nosectariosplis</v>
      </c>
      <c r="C2154" s="8" t="s">
        <v>4305</v>
      </c>
      <c r="D2154" s="9" t="s">
        <v>4306</v>
      </c>
      <c r="E2154" s="10" t="str">
        <f>HYPERLINK("https://twitter.com/Nosectariosplis/status/1070774711976685573","1070774711976685573")</f>
        <v>1070774711976685573</v>
      </c>
      <c r="F2154" s="11"/>
      <c r="G2154" s="11"/>
      <c r="H2154" s="11"/>
      <c r="I2154" s="13">
        <v>0</v>
      </c>
      <c r="J2154" s="13">
        <v>0</v>
      </c>
      <c r="K2154" s="14" t="str">
        <f t="shared" si="370"/>
        <v>Twitter for Android</v>
      </c>
      <c r="L2154" s="13">
        <v>1883</v>
      </c>
      <c r="M2154" s="13">
        <v>3063</v>
      </c>
      <c r="N2154" s="13">
        <v>51</v>
      </c>
      <c r="O2154" s="15"/>
      <c r="P2154" s="6">
        <v>40995.718090277776</v>
      </c>
      <c r="Q2154" s="18" t="s">
        <v>1682</v>
      </c>
      <c r="R2154" s="19" t="s">
        <v>4307</v>
      </c>
      <c r="S2154" s="11"/>
      <c r="T2154" s="11"/>
      <c r="U2154" s="10" t="str">
        <f>HYPERLINK("https://pbs.twimg.com/profile_images/1009746393379016704/njhjXOf8.jpg","View")</f>
        <v>View</v>
      </c>
    </row>
    <row r="2155" spans="1:21" ht="30.6">
      <c r="A2155" s="6">
        <v>43440.888159722221</v>
      </c>
      <c r="B2155" s="7" t="str">
        <f>HYPERLINK("https://twitter.com/MAdMadrit","@MAdMadrit")</f>
        <v>@MAdMadrit</v>
      </c>
      <c r="C2155" s="8" t="s">
        <v>7399</v>
      </c>
      <c r="D2155" s="9" t="s">
        <v>7400</v>
      </c>
      <c r="E2155" s="10" t="str">
        <f>HYPERLINK("https://twitter.com/MAdMadrit/status/1070774616703098880","1070774616703098880")</f>
        <v>1070774616703098880</v>
      </c>
      <c r="F2155" s="11"/>
      <c r="G2155" s="11"/>
      <c r="H2155" s="11"/>
      <c r="I2155" s="13">
        <v>0</v>
      </c>
      <c r="J2155" s="13">
        <v>0</v>
      </c>
      <c r="K2155" s="14" t="str">
        <f t="shared" si="370"/>
        <v>Twitter for Android</v>
      </c>
      <c r="L2155" s="13">
        <v>355</v>
      </c>
      <c r="M2155" s="13">
        <v>359</v>
      </c>
      <c r="N2155" s="13">
        <v>5</v>
      </c>
      <c r="O2155" s="15"/>
      <c r="P2155" s="6">
        <v>41574.366377314815</v>
      </c>
      <c r="Q2155" s="11"/>
      <c r="R2155" s="19" t="s">
        <v>7401</v>
      </c>
      <c r="S2155" s="11"/>
      <c r="T2155" s="11"/>
      <c r="U2155" s="10" t="str">
        <f>HYPERLINK("https://pbs.twimg.com/profile_images/704206043371413504/pw0G-o3x.jpg","View")</f>
        <v>View</v>
      </c>
    </row>
    <row r="2156" spans="1:21" ht="51">
      <c r="A2156" s="6">
        <v>43440.888009259259</v>
      </c>
      <c r="B2156" s="7" t="str">
        <f>HYPERLINK("https://twitter.com/CofranFrancis","@CofranFrancis")</f>
        <v>@CofranFrancis</v>
      </c>
      <c r="C2156" s="8" t="s">
        <v>433</v>
      </c>
      <c r="D2156" s="9" t="s">
        <v>7402</v>
      </c>
      <c r="E2156" s="10" t="str">
        <f>HYPERLINK("https://twitter.com/CofranFrancis/status/1070774563452174337","1070774563452174337")</f>
        <v>1070774563452174337</v>
      </c>
      <c r="F2156" s="11"/>
      <c r="G2156" s="12" t="s">
        <v>7403</v>
      </c>
      <c r="H2156" s="11"/>
      <c r="I2156" s="13">
        <v>0</v>
      </c>
      <c r="J2156" s="13">
        <v>0</v>
      </c>
      <c r="K2156" s="14" t="str">
        <f>HYPERLINK("http://twitter.com","Twitter Web Client")</f>
        <v>Twitter Web Client</v>
      </c>
      <c r="L2156" s="13">
        <v>31</v>
      </c>
      <c r="M2156" s="13">
        <v>111</v>
      </c>
      <c r="N2156" s="13">
        <v>1</v>
      </c>
      <c r="O2156" s="15"/>
      <c r="P2156" s="6">
        <v>43192.507164351853</v>
      </c>
      <c r="Q2156" s="18" t="s">
        <v>436</v>
      </c>
      <c r="R2156" s="19" t="s">
        <v>437</v>
      </c>
      <c r="S2156" s="11"/>
      <c r="T2156" s="11"/>
      <c r="U2156" s="10" t="str">
        <f>HYPERLINK("https://pbs.twimg.com/profile_images/1061378643325280256/n03DucG4.jpg","View")</f>
        <v>View</v>
      </c>
    </row>
    <row r="2157" spans="1:21" ht="30.6">
      <c r="A2157" s="6">
        <v>43440.887673611112</v>
      </c>
      <c r="B2157" s="7" t="str">
        <f>HYPERLINK("https://twitter.com/PostVerita","@PostVerita")</f>
        <v>@PostVerita</v>
      </c>
      <c r="C2157" s="8" t="s">
        <v>7404</v>
      </c>
      <c r="D2157" s="9" t="s">
        <v>7405</v>
      </c>
      <c r="E2157" s="10" t="str">
        <f>HYPERLINK("https://twitter.com/PostVerita/status/1070774439787278337","1070774439787278337")</f>
        <v>1070774439787278337</v>
      </c>
      <c r="F2157" s="11"/>
      <c r="G2157" s="12" t="s">
        <v>7406</v>
      </c>
      <c r="H2157" s="11"/>
      <c r="I2157" s="13">
        <v>0</v>
      </c>
      <c r="J2157" s="13">
        <v>0</v>
      </c>
      <c r="K2157" s="14" t="str">
        <f>HYPERLINK("http://twitter.com/download/iphone","Twitter for iPhone")</f>
        <v>Twitter for iPhone</v>
      </c>
      <c r="L2157" s="13">
        <v>419</v>
      </c>
      <c r="M2157" s="13">
        <v>1816</v>
      </c>
      <c r="N2157" s="13">
        <v>7</v>
      </c>
      <c r="O2157" s="15"/>
      <c r="P2157" s="6">
        <v>41733.930115740739</v>
      </c>
      <c r="Q2157" s="18" t="s">
        <v>7407</v>
      </c>
      <c r="R2157" s="19" t="s">
        <v>7408</v>
      </c>
      <c r="S2157" s="11"/>
      <c r="T2157" s="11"/>
      <c r="U2157" s="10" t="str">
        <f>HYPERLINK("https://pbs.twimg.com/profile_images/993193123328286720/PWqZhVNZ.jpg","View")</f>
        <v>View</v>
      </c>
    </row>
    <row r="2158" spans="1:21" ht="20.399999999999999">
      <c r="A2158" s="6">
        <v>43440.887615740736</v>
      </c>
      <c r="B2158" s="7" t="str">
        <f>HYPERLINK("https://twitter.com/tappy_comico","@tappy_comico")</f>
        <v>@tappy_comico</v>
      </c>
      <c r="C2158" s="8" t="s">
        <v>7409</v>
      </c>
      <c r="D2158" s="9" t="s">
        <v>7410</v>
      </c>
      <c r="E2158" s="10" t="str">
        <f>HYPERLINK("https://twitter.com/tappy_comico/status/1070774418559918090","1070774418559918090")</f>
        <v>1070774418559918090</v>
      </c>
      <c r="F2158" s="11"/>
      <c r="G2158" s="11"/>
      <c r="H2158" s="11"/>
      <c r="I2158" s="13">
        <v>0</v>
      </c>
      <c r="J2158" s="13">
        <v>0</v>
      </c>
      <c r="K2158" s="14" t="str">
        <f t="shared" ref="K2158:K2160" si="371">HYPERLINK("http://twitter.com/download/android","Twitter for Android")</f>
        <v>Twitter for Android</v>
      </c>
      <c r="L2158" s="13">
        <v>3851</v>
      </c>
      <c r="M2158" s="13">
        <v>747</v>
      </c>
      <c r="N2158" s="13">
        <v>73</v>
      </c>
      <c r="O2158" s="15"/>
      <c r="P2158" s="6">
        <v>40473.894120370373</v>
      </c>
      <c r="Q2158" s="11"/>
      <c r="R2158" s="19" t="s">
        <v>7411</v>
      </c>
      <c r="S2158" s="12" t="s">
        <v>7412</v>
      </c>
      <c r="T2158" s="11"/>
      <c r="U2158" s="10" t="str">
        <f>HYPERLINK("https://pbs.twimg.com/profile_images/905179076482215937/t-tcg91I.jpg","View")</f>
        <v>View</v>
      </c>
    </row>
    <row r="2159" spans="1:21" ht="40.799999999999997">
      <c r="A2159" s="6">
        <v>43440.887569444443</v>
      </c>
      <c r="B2159" s="7" t="str">
        <f>HYPERLINK("https://twitter.com/unholandesj","@unholandesj")</f>
        <v>@unholandesj</v>
      </c>
      <c r="C2159" s="8" t="s">
        <v>4308</v>
      </c>
      <c r="D2159" s="9" t="s">
        <v>4309</v>
      </c>
      <c r="E2159" s="10" t="str">
        <f>HYPERLINK("https://twitter.com/unholandesj/status/1070774402382483457","1070774402382483457")</f>
        <v>1070774402382483457</v>
      </c>
      <c r="F2159" s="11"/>
      <c r="G2159" s="11"/>
      <c r="H2159" s="11"/>
      <c r="I2159" s="13">
        <v>1</v>
      </c>
      <c r="J2159" s="13">
        <v>1</v>
      </c>
      <c r="K2159" s="14" t="str">
        <f t="shared" si="371"/>
        <v>Twitter for Android</v>
      </c>
      <c r="L2159" s="13">
        <v>17</v>
      </c>
      <c r="M2159" s="13">
        <v>128</v>
      </c>
      <c r="N2159" s="13">
        <v>0</v>
      </c>
      <c r="O2159" s="15"/>
      <c r="P2159" s="6">
        <v>42179.458414351851</v>
      </c>
      <c r="Q2159" s="18" t="s">
        <v>4310</v>
      </c>
      <c r="R2159" s="17"/>
      <c r="S2159" s="11"/>
      <c r="T2159" s="11"/>
      <c r="U2159" s="10" t="str">
        <f>HYPERLINK("https://pbs.twimg.com/profile_images/917700734489190400/WL1fNUVp.jpg","View")</f>
        <v>View</v>
      </c>
    </row>
    <row r="2160" spans="1:21" ht="51">
      <c r="A2160" s="6">
        <v>43440.887060185181</v>
      </c>
      <c r="B2160" s="7" t="str">
        <f>HYPERLINK("https://twitter.com/luisllzz","@luisllzz")</f>
        <v>@luisllzz</v>
      </c>
      <c r="C2160" s="8" t="s">
        <v>6298</v>
      </c>
      <c r="D2160" s="9" t="s">
        <v>7413</v>
      </c>
      <c r="E2160" s="10" t="str">
        <f>HYPERLINK("https://twitter.com/luisllzz/status/1070774219825397760","1070774219825397760")</f>
        <v>1070774219825397760</v>
      </c>
      <c r="F2160" s="11"/>
      <c r="G2160" s="11"/>
      <c r="H2160" s="11"/>
      <c r="I2160" s="13">
        <v>0</v>
      </c>
      <c r="J2160" s="13">
        <v>0</v>
      </c>
      <c r="K2160" s="14" t="str">
        <f t="shared" si="371"/>
        <v>Twitter for Android</v>
      </c>
      <c r="L2160" s="13">
        <v>413</v>
      </c>
      <c r="M2160" s="13">
        <v>454</v>
      </c>
      <c r="N2160" s="13">
        <v>0</v>
      </c>
      <c r="O2160" s="15"/>
      <c r="P2160" s="6">
        <v>42681.407650462963</v>
      </c>
      <c r="Q2160" s="18" t="s">
        <v>42</v>
      </c>
      <c r="R2160" s="19" t="s">
        <v>6300</v>
      </c>
      <c r="S2160" s="11"/>
      <c r="T2160" s="11"/>
      <c r="U2160" s="10" t="str">
        <f>HYPERLINK("https://pbs.twimg.com/profile_images/1001772071024721920/NpV230z9.jpg","View")</f>
        <v>View</v>
      </c>
    </row>
    <row r="2161" spans="1:21" ht="40.799999999999997">
      <c r="A2161" s="6">
        <v>43440.887013888889</v>
      </c>
      <c r="B2161" s="7" t="str">
        <f>HYPERLINK("https://twitter.com/webjesusss","@webjesusss")</f>
        <v>@webjesusss</v>
      </c>
      <c r="C2161" s="8" t="s">
        <v>7414</v>
      </c>
      <c r="D2161" s="9" t="s">
        <v>7415</v>
      </c>
      <c r="E2161" s="10" t="str">
        <f>HYPERLINK("https://twitter.com/webjesusss/status/1070774201454338048","1070774201454338048")</f>
        <v>1070774201454338048</v>
      </c>
      <c r="F2161" s="12" t="s">
        <v>2595</v>
      </c>
      <c r="G2161" s="11"/>
      <c r="H2161" s="11"/>
      <c r="I2161" s="13">
        <v>0</v>
      </c>
      <c r="J2161" s="13">
        <v>0</v>
      </c>
      <c r="K2161" s="14" t="str">
        <f>HYPERLINK("http://twitter.com","Twitter Web Client")</f>
        <v>Twitter Web Client</v>
      </c>
      <c r="L2161" s="13">
        <v>54</v>
      </c>
      <c r="M2161" s="13">
        <v>49</v>
      </c>
      <c r="N2161" s="13">
        <v>2</v>
      </c>
      <c r="O2161" s="15"/>
      <c r="P2161" s="6">
        <v>40496.98332175926</v>
      </c>
      <c r="Q2161" s="18" t="s">
        <v>307</v>
      </c>
      <c r="R2161" s="19" t="s">
        <v>7416</v>
      </c>
      <c r="S2161" s="11"/>
      <c r="T2161" s="11"/>
      <c r="U2161" s="10" t="str">
        <f>HYPERLINK("https://pbs.twimg.com/profile_images/1003366229787267073/GCiEd-C8.jpg","View")</f>
        <v>View</v>
      </c>
    </row>
    <row r="2162" spans="1:21" ht="30.6">
      <c r="A2162" s="6">
        <v>43440.886481481481</v>
      </c>
      <c r="B2162" s="7" t="str">
        <f>HYPERLINK("https://twitter.com/rafalandariz","@rafalandariz")</f>
        <v>@rafalandariz</v>
      </c>
      <c r="C2162" s="8" t="s">
        <v>7417</v>
      </c>
      <c r="D2162" s="9" t="s">
        <v>7418</v>
      </c>
      <c r="E2162" s="10" t="str">
        <f>HYPERLINK("https://twitter.com/rafalandariz/status/1070774007992061953","1070774007992061953")</f>
        <v>1070774007992061953</v>
      </c>
      <c r="F2162" s="11"/>
      <c r="G2162" s="11"/>
      <c r="H2162" s="11"/>
      <c r="I2162" s="13">
        <v>0</v>
      </c>
      <c r="J2162" s="13">
        <v>1</v>
      </c>
      <c r="K2162" s="14" t="str">
        <f t="shared" ref="K2162:K2164" si="372">HYPERLINK("http://twitter.com/download/android","Twitter for Android")</f>
        <v>Twitter for Android</v>
      </c>
      <c r="L2162" s="13">
        <v>57</v>
      </c>
      <c r="M2162" s="13">
        <v>182</v>
      </c>
      <c r="N2162" s="13">
        <v>0</v>
      </c>
      <c r="O2162" s="15"/>
      <c r="P2162" s="6">
        <v>43089.801145833335</v>
      </c>
      <c r="Q2162" s="11"/>
      <c r="R2162" s="17"/>
      <c r="S2162" s="11"/>
      <c r="T2162" s="11"/>
      <c r="U2162" s="10" t="str">
        <f>HYPERLINK("https://pbs.twimg.com/profile_images/943550142854193153/pgqW-z8r.jpg","View")</f>
        <v>View</v>
      </c>
    </row>
    <row r="2163" spans="1:21" ht="40.799999999999997">
      <c r="A2163" s="6">
        <v>43440.886412037042</v>
      </c>
      <c r="B2163" s="7" t="str">
        <f>HYPERLINK("https://twitter.com/FROILANHERRERO","@FROILANHERRERO")</f>
        <v>@FROILANHERRERO</v>
      </c>
      <c r="C2163" s="8" t="s">
        <v>7419</v>
      </c>
      <c r="D2163" s="9" t="s">
        <v>7420</v>
      </c>
      <c r="E2163" s="10" t="str">
        <f>HYPERLINK("https://twitter.com/FROILANHERRERO/status/1070773982805274624","1070773982805274624")</f>
        <v>1070773982805274624</v>
      </c>
      <c r="F2163" s="11"/>
      <c r="G2163" s="11"/>
      <c r="H2163" s="11"/>
      <c r="I2163" s="13">
        <v>0</v>
      </c>
      <c r="J2163" s="13">
        <v>0</v>
      </c>
      <c r="K2163" s="14" t="str">
        <f t="shared" si="372"/>
        <v>Twitter for Android</v>
      </c>
      <c r="L2163" s="13">
        <v>950</v>
      </c>
      <c r="M2163" s="13">
        <v>1147</v>
      </c>
      <c r="N2163" s="13">
        <v>65</v>
      </c>
      <c r="O2163" s="15"/>
      <c r="P2163" s="6">
        <v>40870.504710648151</v>
      </c>
      <c r="Q2163" s="11"/>
      <c r="R2163" s="17"/>
      <c r="S2163" s="11"/>
      <c r="T2163" s="11"/>
      <c r="U2163" s="10" t="str">
        <f>HYPERLINK("https://pbs.twimg.com/profile_images/2693334411/86a652fd3d1841f6de651e7330c975c7.jpeg","View")</f>
        <v>View</v>
      </c>
    </row>
    <row r="2164" spans="1:21" ht="71.400000000000006">
      <c r="A2164" s="6">
        <v>43440.886284722219</v>
      </c>
      <c r="B2164" s="7" t="str">
        <f>HYPERLINK("https://twitter.com/JavierSantos47","@JavierSantos47")</f>
        <v>@JavierSantos47</v>
      </c>
      <c r="C2164" s="8">
        <v>47</v>
      </c>
      <c r="D2164" s="9" t="s">
        <v>7421</v>
      </c>
      <c r="E2164" s="10" t="str">
        <f>HYPERLINK("https://twitter.com/JavierSantos47/status/1070773939876581377","1070773939876581377")</f>
        <v>1070773939876581377</v>
      </c>
      <c r="F2164" s="12" t="s">
        <v>7422</v>
      </c>
      <c r="G2164" s="11"/>
      <c r="H2164" s="11"/>
      <c r="I2164" s="13">
        <v>0</v>
      </c>
      <c r="J2164" s="13">
        <v>1</v>
      </c>
      <c r="K2164" s="14" t="str">
        <f t="shared" si="372"/>
        <v>Twitter for Android</v>
      </c>
      <c r="L2164" s="13">
        <v>416</v>
      </c>
      <c r="M2164" s="13">
        <v>646</v>
      </c>
      <c r="N2164" s="13">
        <v>8</v>
      </c>
      <c r="O2164" s="15"/>
      <c r="P2164" s="6">
        <v>40891.614016203705</v>
      </c>
      <c r="Q2164" s="11"/>
      <c r="R2164" s="19" t="s">
        <v>7423</v>
      </c>
      <c r="S2164" s="11"/>
      <c r="T2164" s="11"/>
      <c r="U2164" s="10" t="str">
        <f>HYPERLINK("https://pbs.twimg.com/profile_images/1058348179350056966/jfg01Ydj.jpg","View")</f>
        <v>View</v>
      </c>
    </row>
    <row r="2165" spans="1:21" ht="20.399999999999999">
      <c r="A2165" s="6">
        <v>43440.885520833333</v>
      </c>
      <c r="B2165" s="7" t="str">
        <f>HYPERLINK("https://twitter.com/AgusMontes1","@AgusMontes1")</f>
        <v>@AgusMontes1</v>
      </c>
      <c r="C2165" s="8" t="s">
        <v>7424</v>
      </c>
      <c r="D2165" s="9" t="s">
        <v>7425</v>
      </c>
      <c r="E2165" s="10" t="str">
        <f>HYPERLINK("https://twitter.com/AgusMontes1/status/1070773662188326912","1070773662188326912")</f>
        <v>1070773662188326912</v>
      </c>
      <c r="F2165" s="12" t="s">
        <v>7426</v>
      </c>
      <c r="G2165" s="11"/>
      <c r="H2165" s="11"/>
      <c r="I2165" s="13">
        <v>0</v>
      </c>
      <c r="J2165" s="13">
        <v>0</v>
      </c>
      <c r="K2165" s="14" t="str">
        <f>HYPERLINK("https://www.google.com/","Google")</f>
        <v>Google</v>
      </c>
      <c r="L2165" s="13">
        <v>152</v>
      </c>
      <c r="M2165" s="13">
        <v>383</v>
      </c>
      <c r="N2165" s="13">
        <v>15</v>
      </c>
      <c r="O2165" s="15"/>
      <c r="P2165" s="6">
        <v>40066.221898148149</v>
      </c>
      <c r="Q2165" s="18" t="s">
        <v>898</v>
      </c>
      <c r="R2165" s="19" t="s">
        <v>7427</v>
      </c>
      <c r="S2165" s="11"/>
      <c r="T2165" s="11"/>
      <c r="U2165" s="10" t="str">
        <f>HYPERLINK("https://pbs.twimg.com/profile_images/665192603248259072/U6zLFeAP.jpg","View")</f>
        <v>View</v>
      </c>
    </row>
    <row r="2166" spans="1:21" ht="30.6">
      <c r="A2166" s="6">
        <v>43440.885416666672</v>
      </c>
      <c r="B2166" s="7" t="str">
        <f>HYPERLINK("https://twitter.com/eldiarioes","@eldiarioes")</f>
        <v>@eldiarioes</v>
      </c>
      <c r="C2166" s="22" t="s">
        <v>6761</v>
      </c>
      <c r="D2166" s="9" t="s">
        <v>7428</v>
      </c>
      <c r="E2166" s="10" t="str">
        <f>HYPERLINK("https://twitter.com/eldiarioes/status/1070773623177252867","1070773623177252867")</f>
        <v>1070773623177252867</v>
      </c>
      <c r="F2166" s="12" t="s">
        <v>2673</v>
      </c>
      <c r="G2166" s="12" t="s">
        <v>7429</v>
      </c>
      <c r="H2166" s="11"/>
      <c r="I2166" s="13">
        <v>11</v>
      </c>
      <c r="J2166" s="13">
        <v>15</v>
      </c>
      <c r="K2166" s="14" t="str">
        <f>HYPERLINK("https://about.twitter.com/products/tweetdeck","TweetDeck")</f>
        <v>TweetDeck</v>
      </c>
      <c r="L2166" s="13">
        <v>940165</v>
      </c>
      <c r="M2166" s="13">
        <v>456</v>
      </c>
      <c r="N2166" s="13">
        <v>11261</v>
      </c>
      <c r="O2166" s="16" t="s">
        <v>25</v>
      </c>
      <c r="P2166" s="6">
        <v>40992.839189814811</v>
      </c>
      <c r="Q2166" s="11"/>
      <c r="R2166" s="19" t="s">
        <v>6763</v>
      </c>
      <c r="S2166" s="12" t="s">
        <v>6764</v>
      </c>
      <c r="T2166" s="11"/>
      <c r="U2166" s="10" t="str">
        <f>HYPERLINK("https://pbs.twimg.com/profile_images/1016600645292511232/eYIkIK2s.jpg","View")</f>
        <v>View</v>
      </c>
    </row>
    <row r="2167" spans="1:21" ht="20.399999999999999">
      <c r="A2167" s="6">
        <v>43440.885312500002</v>
      </c>
      <c r="B2167" s="7" t="str">
        <f>HYPERLINK("https://twitter.com/coyotemad","@coyotemad")</f>
        <v>@coyotemad</v>
      </c>
      <c r="C2167" s="8" t="s">
        <v>7430</v>
      </c>
      <c r="D2167" s="9" t="s">
        <v>7431</v>
      </c>
      <c r="E2167" s="10" t="str">
        <f>HYPERLINK("https://twitter.com/coyotemad/status/1070773586372296704","1070773586372296704")</f>
        <v>1070773586372296704</v>
      </c>
      <c r="F2167" s="11"/>
      <c r="G2167" s="11"/>
      <c r="H2167" s="11"/>
      <c r="I2167" s="13">
        <v>0</v>
      </c>
      <c r="J2167" s="13">
        <v>0</v>
      </c>
      <c r="K2167" s="14" t="str">
        <f>HYPERLINK("http://twitter.com/download/iphone","Twitter for iPhone")</f>
        <v>Twitter for iPhone</v>
      </c>
      <c r="L2167" s="13">
        <v>9</v>
      </c>
      <c r="M2167" s="13">
        <v>18</v>
      </c>
      <c r="N2167" s="13">
        <v>0</v>
      </c>
      <c r="O2167" s="15"/>
      <c r="P2167" s="6">
        <v>40945.568124999998</v>
      </c>
      <c r="Q2167" s="18" t="s">
        <v>42</v>
      </c>
      <c r="R2167" s="17"/>
      <c r="S2167" s="11"/>
      <c r="T2167" s="11"/>
      <c r="U2167" s="10" t="str">
        <f>HYPERLINK("https://pbs.twimg.com/profile_images/1808280129/Sin_t_tulo.png","View")</f>
        <v>View</v>
      </c>
    </row>
    <row r="2168" spans="1:21" ht="30.6">
      <c r="A2168" s="6">
        <v>43440.885219907403</v>
      </c>
      <c r="B2168" s="7" t="str">
        <f>HYPERLINK("https://twitter.com/MarioGuti84","@MarioGuti84")</f>
        <v>@MarioGuti84</v>
      </c>
      <c r="C2168" s="8" t="s">
        <v>7432</v>
      </c>
      <c r="D2168" s="9" t="s">
        <v>7433</v>
      </c>
      <c r="E2168" s="10" t="str">
        <f>HYPERLINK("https://twitter.com/MarioGuti84/status/1070773553665073153","1070773553665073153")</f>
        <v>1070773553665073153</v>
      </c>
      <c r="F2168" s="12" t="s">
        <v>4994</v>
      </c>
      <c r="G2168" s="11"/>
      <c r="H2168" s="11"/>
      <c r="I2168" s="13">
        <v>0</v>
      </c>
      <c r="J2168" s="13">
        <v>1</v>
      </c>
      <c r="K2168" s="14" t="str">
        <f>HYPERLINK("http://twitter.com/download/android","Twitter for Android")</f>
        <v>Twitter for Android</v>
      </c>
      <c r="L2168" s="13">
        <v>262</v>
      </c>
      <c r="M2168" s="13">
        <v>249</v>
      </c>
      <c r="N2168" s="13">
        <v>1</v>
      </c>
      <c r="O2168" s="15"/>
      <c r="P2168" s="6">
        <v>41166.54042824074</v>
      </c>
      <c r="Q2168" s="11"/>
      <c r="R2168" s="17"/>
      <c r="S2168" s="11"/>
      <c r="T2168" s="11"/>
      <c r="U2168" s="10" t="str">
        <f>HYPERLINK("https://pbs.twimg.com/profile_images/1022595228853788674/B1g16MNP.jpg","View")</f>
        <v>View</v>
      </c>
    </row>
    <row r="2169" spans="1:21" ht="40.799999999999997">
      <c r="A2169" s="6">
        <v>43440.885208333333</v>
      </c>
      <c r="B2169" s="7" t="str">
        <f>HYPERLINK("https://twitter.com/ChinoConAfro","@ChinoConAfro")</f>
        <v>@ChinoConAfro</v>
      </c>
      <c r="C2169" s="8" t="s">
        <v>2151</v>
      </c>
      <c r="D2169" s="9" t="s">
        <v>4311</v>
      </c>
      <c r="E2169" s="10" t="str">
        <f>HYPERLINK("https://twitter.com/ChinoConAfro/status/1070773548485099520","1070773548485099520")</f>
        <v>1070773548485099520</v>
      </c>
      <c r="F2169" s="11"/>
      <c r="G2169" s="11"/>
      <c r="H2169" s="11"/>
      <c r="I2169" s="13">
        <v>0</v>
      </c>
      <c r="J2169" s="13">
        <v>0</v>
      </c>
      <c r="K2169" s="14" t="str">
        <f>HYPERLINK("http://twitter.com/download/iphone","Twitter for iPhone")</f>
        <v>Twitter for iPhone</v>
      </c>
      <c r="L2169" s="13">
        <v>765</v>
      </c>
      <c r="M2169" s="13">
        <v>434</v>
      </c>
      <c r="N2169" s="13">
        <v>10</v>
      </c>
      <c r="O2169" s="15"/>
      <c r="P2169" s="6">
        <v>39999.076863425929</v>
      </c>
      <c r="Q2169" s="18" t="s">
        <v>2154</v>
      </c>
      <c r="R2169" s="19" t="s">
        <v>2155</v>
      </c>
      <c r="S2169" s="11"/>
      <c r="T2169" s="11"/>
      <c r="U2169" s="10" t="str">
        <f>HYPERLINK("https://pbs.twimg.com/profile_images/860235892451160064/jqOSikWe.jpg","View")</f>
        <v>View</v>
      </c>
    </row>
    <row r="2170" spans="1:21" ht="20.399999999999999">
      <c r="A2170" s="6">
        <v>43440.885196759264</v>
      </c>
      <c r="B2170" s="7" t="str">
        <f>HYPERLINK("https://twitter.com/Julia75990331","@Julia75990331")</f>
        <v>@Julia75990331</v>
      </c>
      <c r="C2170" s="8" t="s">
        <v>1256</v>
      </c>
      <c r="D2170" s="9" t="s">
        <v>4318</v>
      </c>
      <c r="E2170" s="10" t="str">
        <f>HYPERLINK("https://twitter.com/Julia75990331/status/1070773544185925632","1070773544185925632")</f>
        <v>1070773544185925632</v>
      </c>
      <c r="F2170" s="11"/>
      <c r="G2170" s="12" t="s">
        <v>4319</v>
      </c>
      <c r="H2170" s="11"/>
      <c r="I2170" s="13">
        <v>0</v>
      </c>
      <c r="J2170" s="13">
        <v>0</v>
      </c>
      <c r="K2170" s="14" t="str">
        <f t="shared" ref="K2170:K2171" si="373">HYPERLINK("http://twitter.com/download/android","Twitter for Android")</f>
        <v>Twitter for Android</v>
      </c>
      <c r="L2170" s="13">
        <v>695</v>
      </c>
      <c r="M2170" s="13">
        <v>960</v>
      </c>
      <c r="N2170" s="13">
        <v>0</v>
      </c>
      <c r="O2170" s="15"/>
      <c r="P2170" s="6">
        <v>43377.642314814817</v>
      </c>
      <c r="Q2170" s="11"/>
      <c r="R2170" s="19" t="s">
        <v>1259</v>
      </c>
      <c r="S2170" s="11"/>
      <c r="T2170" s="11"/>
      <c r="U2170" s="10" t="str">
        <f>HYPERLINK("https://pbs.twimg.com/profile_images/1051971899109113857/Lnj9d5gj.jpg","View")</f>
        <v>View</v>
      </c>
    </row>
    <row r="2171" spans="1:21" ht="91.8">
      <c r="A2171" s="6">
        <v>43440.88517361111</v>
      </c>
      <c r="B2171" s="7" t="str">
        <f>HYPERLINK("https://twitter.com/juanvelamacias","@juanvelamacias")</f>
        <v>@juanvelamacias</v>
      </c>
      <c r="C2171" s="8" t="s">
        <v>7434</v>
      </c>
      <c r="D2171" s="9" t="s">
        <v>7435</v>
      </c>
      <c r="E2171" s="10" t="str">
        <f>HYPERLINK("https://twitter.com/juanvelamacias/status/1070773533817614337","1070773533817614337")</f>
        <v>1070773533817614337</v>
      </c>
      <c r="F2171" s="12" t="s">
        <v>7436</v>
      </c>
      <c r="G2171" s="12" t="s">
        <v>7437</v>
      </c>
      <c r="H2171" s="11"/>
      <c r="I2171" s="13">
        <v>6</v>
      </c>
      <c r="J2171" s="13">
        <v>5</v>
      </c>
      <c r="K2171" s="14" t="str">
        <f t="shared" si="373"/>
        <v>Twitter for Android</v>
      </c>
      <c r="L2171" s="13">
        <v>1123</v>
      </c>
      <c r="M2171" s="13">
        <v>2374</v>
      </c>
      <c r="N2171" s="13">
        <v>10</v>
      </c>
      <c r="O2171" s="15"/>
      <c r="P2171" s="6">
        <v>42451.942858796298</v>
      </c>
      <c r="Q2171" s="18" t="s">
        <v>173</v>
      </c>
      <c r="R2171" s="17"/>
      <c r="S2171" s="11"/>
      <c r="T2171" s="11"/>
      <c r="U2171" s="10" t="str">
        <f>HYPERLINK("https://pbs.twimg.com/profile_images/712408246250840065/SN57pyJ7.jpg","View")</f>
        <v>View</v>
      </c>
    </row>
    <row r="2172" spans="1:21" ht="51">
      <c r="A2172" s="6">
        <v>43440.884884259256</v>
      </c>
      <c r="B2172" s="7" t="str">
        <f>HYPERLINK("https://twitter.com/europapress","@europapress")</f>
        <v>@europapress</v>
      </c>
      <c r="C2172" s="8" t="s">
        <v>6700</v>
      </c>
      <c r="D2172" s="9" t="s">
        <v>7438</v>
      </c>
      <c r="E2172" s="10" t="str">
        <f>HYPERLINK("https://twitter.com/europapress/status/1070773431346585600","1070773431346585600")</f>
        <v>1070773431346585600</v>
      </c>
      <c r="F2172" s="12" t="s">
        <v>6702</v>
      </c>
      <c r="G2172" s="12" t="s">
        <v>5585</v>
      </c>
      <c r="H2172" s="11"/>
      <c r="I2172" s="13">
        <v>65</v>
      </c>
      <c r="J2172" s="13">
        <v>98</v>
      </c>
      <c r="K2172" s="14" t="str">
        <f>HYPERLINK("https://studio.twitter.com","Twitter Media Studio")</f>
        <v>Twitter Media Studio</v>
      </c>
      <c r="L2172" s="13">
        <v>1100734</v>
      </c>
      <c r="M2172" s="13">
        <v>1101</v>
      </c>
      <c r="N2172" s="13">
        <v>13750</v>
      </c>
      <c r="O2172" s="16" t="s">
        <v>25</v>
      </c>
      <c r="P2172" s="6">
        <v>40246.461956018517</v>
      </c>
      <c r="Q2172" s="11"/>
      <c r="R2172" s="19" t="s">
        <v>6703</v>
      </c>
      <c r="S2172" s="12" t="s">
        <v>6312</v>
      </c>
      <c r="T2172" s="11"/>
      <c r="U2172" s="10" t="str">
        <f>HYPERLINK("https://pbs.twimg.com/profile_images/876740155473788928/4V7ewUTC.jpg","View")</f>
        <v>View</v>
      </c>
    </row>
    <row r="2173" spans="1:21" ht="20.399999999999999">
      <c r="A2173" s="6">
        <v>43440.88481481481</v>
      </c>
      <c r="B2173" s="7" t="str">
        <f>HYPERLINK("https://twitter.com/LaGacetaSA","@LaGacetaSA")</f>
        <v>@LaGacetaSA</v>
      </c>
      <c r="C2173" s="8" t="s">
        <v>7439</v>
      </c>
      <c r="D2173" s="9" t="s">
        <v>7440</v>
      </c>
      <c r="E2173" s="10" t="str">
        <f>HYPERLINK("https://twitter.com/LaGacetaSA/status/1070773403747999744","1070773403747999744")</f>
        <v>1070773403747999744</v>
      </c>
      <c r="F2173" s="12" t="s">
        <v>7441</v>
      </c>
      <c r="G2173" s="12" t="s">
        <v>7442</v>
      </c>
      <c r="H2173" s="11"/>
      <c r="I2173" s="13">
        <v>5</v>
      </c>
      <c r="J2173" s="13">
        <v>4</v>
      </c>
      <c r="K2173" s="14" t="str">
        <f>HYPERLINK("https://www.hootsuite.com","Hootsuite Inc.")</f>
        <v>Hootsuite Inc.</v>
      </c>
      <c r="L2173" s="13">
        <v>33616</v>
      </c>
      <c r="M2173" s="13">
        <v>378</v>
      </c>
      <c r="N2173" s="13">
        <v>451</v>
      </c>
      <c r="O2173" s="15"/>
      <c r="P2173" s="6">
        <v>40381.748888888891</v>
      </c>
      <c r="Q2173" s="18" t="s">
        <v>424</v>
      </c>
      <c r="R2173" s="19" t="s">
        <v>7443</v>
      </c>
      <c r="S2173" s="12" t="s">
        <v>7444</v>
      </c>
      <c r="T2173" s="11"/>
      <c r="U2173" s="10" t="str">
        <f>HYPERLINK("https://pbs.twimg.com/profile_images/899529275325521921/G78hnC_A.jpg","View")</f>
        <v>View</v>
      </c>
    </row>
    <row r="2174" spans="1:21" ht="71.400000000000006">
      <c r="A2174" s="6">
        <v>43440.88480324074</v>
      </c>
      <c r="B2174" s="7" t="str">
        <f>HYPERLINK("https://twitter.com/JavierSantos47","@JavierSantos47")</f>
        <v>@JavierSantos47</v>
      </c>
      <c r="C2174" s="8">
        <v>47</v>
      </c>
      <c r="D2174" s="9" t="s">
        <v>7445</v>
      </c>
      <c r="E2174" s="10" t="str">
        <f>HYPERLINK("https://twitter.com/JavierSantos47/status/1070773401856499712","1070773401856499712")</f>
        <v>1070773401856499712</v>
      </c>
      <c r="F2174" s="12" t="s">
        <v>7446</v>
      </c>
      <c r="G2174" s="11"/>
      <c r="H2174" s="11"/>
      <c r="I2174" s="13">
        <v>0</v>
      </c>
      <c r="J2174" s="13">
        <v>0</v>
      </c>
      <c r="K2174" s="14" t="str">
        <f>HYPERLINK("http://twitter.com/download/android","Twitter for Android")</f>
        <v>Twitter for Android</v>
      </c>
      <c r="L2174" s="13">
        <v>416</v>
      </c>
      <c r="M2174" s="13">
        <v>646</v>
      </c>
      <c r="N2174" s="13">
        <v>8</v>
      </c>
      <c r="O2174" s="15"/>
      <c r="P2174" s="6">
        <v>40891.614016203705</v>
      </c>
      <c r="Q2174" s="11"/>
      <c r="R2174" s="19" t="s">
        <v>7423</v>
      </c>
      <c r="S2174" s="11"/>
      <c r="T2174" s="11"/>
      <c r="U2174" s="10" t="str">
        <f>HYPERLINK("https://pbs.twimg.com/profile_images/1058348179350056966/jfg01Ydj.jpg","View")</f>
        <v>View</v>
      </c>
    </row>
    <row r="2175" spans="1:21" ht="40.799999999999997">
      <c r="A2175" s="6">
        <v>43440.884733796294</v>
      </c>
      <c r="B2175" s="7" t="str">
        <f>HYPERLINK("https://twitter.com/JuanUsategui","@JuanUsategui")</f>
        <v>@JuanUsategui</v>
      </c>
      <c r="C2175" s="8" t="s">
        <v>2674</v>
      </c>
      <c r="D2175" s="9" t="s">
        <v>7447</v>
      </c>
      <c r="E2175" s="10" t="str">
        <f>HYPERLINK("https://twitter.com/JuanUsategui/status/1070773378028584961","1070773378028584961")</f>
        <v>1070773378028584961</v>
      </c>
      <c r="F2175" s="11"/>
      <c r="G2175" s="11"/>
      <c r="H2175" s="11"/>
      <c r="I2175" s="13">
        <v>0</v>
      </c>
      <c r="J2175" s="13">
        <v>1</v>
      </c>
      <c r="K2175" s="14" t="str">
        <f>HYPERLINK("http://twitter.com/#!/download/ipad","Twitter for iPad")</f>
        <v>Twitter for iPad</v>
      </c>
      <c r="L2175" s="13">
        <v>228</v>
      </c>
      <c r="M2175" s="13">
        <v>667</v>
      </c>
      <c r="N2175" s="13">
        <v>0</v>
      </c>
      <c r="O2175" s="15"/>
      <c r="P2175" s="6">
        <v>42428.040138888886</v>
      </c>
      <c r="Q2175" s="18" t="s">
        <v>173</v>
      </c>
      <c r="R2175" s="19" t="s">
        <v>2678</v>
      </c>
      <c r="S2175" s="11"/>
      <c r="T2175" s="11"/>
      <c r="U2175" s="10" t="str">
        <f>HYPERLINK("https://pbs.twimg.com/profile_images/704070459042762752/SxNaT3nk.jpg","View")</f>
        <v>View</v>
      </c>
    </row>
    <row r="2176" spans="1:21" ht="30.6">
      <c r="A2176" s="6">
        <v>43440.884224537032</v>
      </c>
      <c r="B2176" s="7" t="str">
        <f>HYPERLINK("https://twitter.com/fersalasteran","@fersalasteran")</f>
        <v>@fersalasteran</v>
      </c>
      <c r="C2176" s="8" t="s">
        <v>7448</v>
      </c>
      <c r="D2176" s="9" t="s">
        <v>7449</v>
      </c>
      <c r="E2176" s="10" t="str">
        <f>HYPERLINK("https://twitter.com/fersalasteran/status/1070773192132911104","1070773192132911104")</f>
        <v>1070773192132911104</v>
      </c>
      <c r="F2176" s="11"/>
      <c r="G2176" s="11"/>
      <c r="H2176" s="11"/>
      <c r="I2176" s="13">
        <v>0</v>
      </c>
      <c r="J2176" s="13">
        <v>0</v>
      </c>
      <c r="K2176" s="14" t="str">
        <f>HYPERLINK("http://twitter.com/download/android","Twitter for Android")</f>
        <v>Twitter for Android</v>
      </c>
      <c r="L2176" s="13">
        <v>1</v>
      </c>
      <c r="M2176" s="13">
        <v>11</v>
      </c>
      <c r="N2176" s="13">
        <v>0</v>
      </c>
      <c r="O2176" s="15"/>
      <c r="P2176" s="6">
        <v>42391.43549768519</v>
      </c>
      <c r="Q2176" s="11"/>
      <c r="R2176" s="17"/>
      <c r="S2176" s="11"/>
      <c r="T2176" s="11"/>
      <c r="U2176" s="10" t="str">
        <f>HYPERLINK("https://pbs.twimg.com/profile_images/690465990673588224/Iptemdc7.jpg","View")</f>
        <v>View</v>
      </c>
    </row>
    <row r="2177" spans="1:21" ht="40.799999999999997">
      <c r="A2177" s="6">
        <v>43440.883923611109</v>
      </c>
      <c r="B2177" s="7" t="str">
        <f>HYPERLINK("https://twitter.com/najmanovic13","@najmanovic13")</f>
        <v>@najmanovic13</v>
      </c>
      <c r="C2177" s="8" t="s">
        <v>4321</v>
      </c>
      <c r="D2177" s="9" t="s">
        <v>4322</v>
      </c>
      <c r="E2177" s="10" t="str">
        <f>HYPERLINK("https://twitter.com/najmanovic13/status/1070773082506387458","1070773082506387458")</f>
        <v>1070773082506387458</v>
      </c>
      <c r="F2177" s="11"/>
      <c r="G2177" s="11"/>
      <c r="H2177" s="11"/>
      <c r="I2177" s="13">
        <v>0</v>
      </c>
      <c r="J2177" s="13">
        <v>0</v>
      </c>
      <c r="K2177" s="14" t="str">
        <f>HYPERLINK("http://twitter.com/download/iphone","Twitter for iPhone")</f>
        <v>Twitter for iPhone</v>
      </c>
      <c r="L2177" s="13">
        <v>69</v>
      </c>
      <c r="M2177" s="13">
        <v>345</v>
      </c>
      <c r="N2177" s="13">
        <v>0</v>
      </c>
      <c r="O2177" s="15"/>
      <c r="P2177" s="6">
        <v>43258.452638888892</v>
      </c>
      <c r="Q2177" s="18" t="s">
        <v>4323</v>
      </c>
      <c r="R2177" s="19" t="s">
        <v>4324</v>
      </c>
      <c r="S2177" s="11"/>
      <c r="T2177" s="11"/>
      <c r="U2177" s="10" t="str">
        <f>HYPERLINK("https://pbs.twimg.com/profile_images/1033733292275769344/cXn0JQ_w.jpg","View")</f>
        <v>View</v>
      </c>
    </row>
    <row r="2178" spans="1:21" ht="40.799999999999997">
      <c r="A2178" s="6">
        <v>43440.88386574074</v>
      </c>
      <c r="B2178" s="7" t="str">
        <f>HYPERLINK("https://twitter.com/CuevasMoral","@CuevasMoral")</f>
        <v>@CuevasMoral</v>
      </c>
      <c r="C2178" s="8" t="s">
        <v>4328</v>
      </c>
      <c r="D2178" s="9" t="s">
        <v>4329</v>
      </c>
      <c r="E2178" s="10" t="str">
        <f>HYPERLINK("https://twitter.com/CuevasMoral/status/1070773061098659840","1070773061098659840")</f>
        <v>1070773061098659840</v>
      </c>
      <c r="F2178" s="11"/>
      <c r="G2178" s="12" t="s">
        <v>4333</v>
      </c>
      <c r="H2178" s="11"/>
      <c r="I2178" s="13">
        <v>1</v>
      </c>
      <c r="J2178" s="13">
        <v>2</v>
      </c>
      <c r="K2178" s="14" t="str">
        <f>HYPERLINK("http://twitter.com","Twitter Web Client")</f>
        <v>Twitter Web Client</v>
      </c>
      <c r="L2178" s="13">
        <v>2569</v>
      </c>
      <c r="M2178" s="13">
        <v>1700</v>
      </c>
      <c r="N2178" s="13">
        <v>53</v>
      </c>
      <c r="O2178" s="15"/>
      <c r="P2178" s="6">
        <v>40186.400625000002</v>
      </c>
      <c r="Q2178" s="11"/>
      <c r="R2178" s="19" t="s">
        <v>4335</v>
      </c>
      <c r="S2178" s="11"/>
      <c r="T2178" s="11"/>
      <c r="U2178" s="10" t="str">
        <f>HYPERLINK("https://pbs.twimg.com/profile_images/1035855199074705408/RuNybK9s.jpg","View")</f>
        <v>View</v>
      </c>
    </row>
    <row r="2179" spans="1:21" ht="40.799999999999997">
      <c r="A2179" s="6">
        <v>43440.883437500001</v>
      </c>
      <c r="B2179" s="7" t="str">
        <f>HYPERLINK("https://twitter.com/J_Gonzalez_Ca","@J_Gonzalez_Ca")</f>
        <v>@J_Gonzalez_Ca</v>
      </c>
      <c r="C2179" s="8" t="s">
        <v>7333</v>
      </c>
      <c r="D2179" s="9" t="s">
        <v>3591</v>
      </c>
      <c r="E2179" s="10" t="str">
        <f>HYPERLINK("https://twitter.com/J_Gonzalez_Ca/status/1070772905011757059","1070772905011757059")</f>
        <v>1070772905011757059</v>
      </c>
      <c r="F2179" s="12" t="s">
        <v>1051</v>
      </c>
      <c r="G2179" s="11"/>
      <c r="H2179" s="11"/>
      <c r="I2179" s="13">
        <v>0</v>
      </c>
      <c r="J2179" s="13">
        <v>0</v>
      </c>
      <c r="K2179" s="14" t="str">
        <f>HYPERLINK("http://twitter.com/#!/download/ipad","Twitter for iPad")</f>
        <v>Twitter for iPad</v>
      </c>
      <c r="L2179" s="13">
        <v>162</v>
      </c>
      <c r="M2179" s="13">
        <v>427</v>
      </c>
      <c r="N2179" s="13">
        <v>3</v>
      </c>
      <c r="O2179" s="15"/>
      <c r="P2179" s="6">
        <v>41336.44295138889</v>
      </c>
      <c r="Q2179" s="18" t="s">
        <v>7337</v>
      </c>
      <c r="R2179" s="19" t="s">
        <v>7338</v>
      </c>
      <c r="S2179" s="11"/>
      <c r="T2179" s="11"/>
      <c r="U2179" s="10" t="str">
        <f>HYPERLINK("https://pbs.twimg.com/profile_images/3332308629/979eee489a001adf427ad901374700f6.jpeg","View")</f>
        <v>View</v>
      </c>
    </row>
    <row r="2180" spans="1:21" ht="30.6">
      <c r="A2180" s="6">
        <v>43440.883425925931</v>
      </c>
      <c r="B2180" s="7" t="str">
        <f>HYPERLINK("https://twitter.com/DavidGarsy","@DavidGarsy")</f>
        <v>@DavidGarsy</v>
      </c>
      <c r="C2180" s="8" t="s">
        <v>4339</v>
      </c>
      <c r="D2180" s="9" t="s">
        <v>4340</v>
      </c>
      <c r="E2180" s="10" t="str">
        <f>HYPERLINK("https://twitter.com/DavidGarsy/status/1070772902604218368","1070772902604218368")</f>
        <v>1070772902604218368</v>
      </c>
      <c r="F2180" s="11"/>
      <c r="G2180" s="12" t="s">
        <v>4341</v>
      </c>
      <c r="H2180" s="11"/>
      <c r="I2180" s="13">
        <v>0</v>
      </c>
      <c r="J2180" s="13">
        <v>0</v>
      </c>
      <c r="K2180" s="14" t="str">
        <f>HYPERLINK("http://twitter.com/download/android","Twitter for Android")</f>
        <v>Twitter for Android</v>
      </c>
      <c r="L2180" s="13">
        <v>537</v>
      </c>
      <c r="M2180" s="13">
        <v>1256</v>
      </c>
      <c r="N2180" s="13">
        <v>2</v>
      </c>
      <c r="O2180" s="15"/>
      <c r="P2180" s="6">
        <v>41018.402511574073</v>
      </c>
      <c r="Q2180" s="11"/>
      <c r="R2180" s="19" t="s">
        <v>4344</v>
      </c>
      <c r="S2180" s="11"/>
      <c r="T2180" s="11"/>
      <c r="U2180" s="10" t="str">
        <f>HYPERLINK("https://pbs.twimg.com/profile_images/791352393812283393/irrXSOu0.jpg","View")</f>
        <v>View</v>
      </c>
    </row>
    <row r="2181" spans="1:21" ht="51">
      <c r="A2181" s="6">
        <v>43440.883275462962</v>
      </c>
      <c r="B2181" s="7" t="str">
        <f>HYPERLINK("https://twitter.com/pong_rafael","@pong_rafael")</f>
        <v>@pong_rafael</v>
      </c>
      <c r="C2181" s="8" t="s">
        <v>4345</v>
      </c>
      <c r="D2181" s="9" t="s">
        <v>4346</v>
      </c>
      <c r="E2181" s="10" t="str">
        <f>HYPERLINK("https://twitter.com/pong_rafael/status/1070772847872786433","1070772847872786433")</f>
        <v>1070772847872786433</v>
      </c>
      <c r="F2181" s="11"/>
      <c r="G2181" s="11"/>
      <c r="H2181" s="11"/>
      <c r="I2181" s="13">
        <v>0</v>
      </c>
      <c r="J2181" s="13">
        <v>0</v>
      </c>
      <c r="K2181" s="14" t="str">
        <f>HYPERLINK("http://twitter.com","Twitter Web Client")</f>
        <v>Twitter Web Client</v>
      </c>
      <c r="L2181" s="13">
        <v>13</v>
      </c>
      <c r="M2181" s="13">
        <v>107</v>
      </c>
      <c r="N2181" s="13">
        <v>0</v>
      </c>
      <c r="O2181" s="15"/>
      <c r="P2181" s="6">
        <v>42693.622592592597</v>
      </c>
      <c r="Q2181" s="18" t="s">
        <v>1645</v>
      </c>
      <c r="R2181" s="19" t="s">
        <v>4351</v>
      </c>
      <c r="S2181" s="11"/>
      <c r="T2181" s="11"/>
      <c r="U2181" s="10" t="str">
        <f>HYPERLINK("https://pbs.twimg.com/profile_images/932707229773508609/M0IeT5bT.jpg","View")</f>
        <v>View</v>
      </c>
    </row>
    <row r="2182" spans="1:21" ht="20.399999999999999">
      <c r="A2182" s="6">
        <v>43440.882916666669</v>
      </c>
      <c r="B2182" s="7" t="str">
        <f>HYPERLINK("https://twitter.com/davidga58958356","@davidga58958356")</f>
        <v>@davidga58958356</v>
      </c>
      <c r="C2182" s="8" t="s">
        <v>7450</v>
      </c>
      <c r="D2182" s="9" t="s">
        <v>2453</v>
      </c>
      <c r="E2182" s="10" t="str">
        <f>HYPERLINK("https://twitter.com/davidga58958356/status/1070772718667149312","1070772718667149312")</f>
        <v>1070772718667149312</v>
      </c>
      <c r="F2182" s="12" t="s">
        <v>2454</v>
      </c>
      <c r="G2182" s="11"/>
      <c r="H2182" s="11"/>
      <c r="I2182" s="13">
        <v>0</v>
      </c>
      <c r="J2182" s="13">
        <v>0</v>
      </c>
      <c r="K2182" s="14" t="str">
        <f>HYPERLINK("https://www.google.com/","Google")</f>
        <v>Google</v>
      </c>
      <c r="L2182" s="13">
        <v>23</v>
      </c>
      <c r="M2182" s="13">
        <v>143</v>
      </c>
      <c r="N2182" s="13">
        <v>0</v>
      </c>
      <c r="O2182" s="15"/>
      <c r="P2182" s="6">
        <v>41609.638414351852</v>
      </c>
      <c r="Q2182" s="18" t="s">
        <v>7451</v>
      </c>
      <c r="R2182" s="19" t="s">
        <v>7452</v>
      </c>
      <c r="S2182" s="11"/>
      <c r="T2182" s="11"/>
      <c r="U2182" s="10" t="str">
        <f>HYPERLINK("https://pbs.twimg.com/profile_images/1011403694817071106/A4kV1QxH.jpg","View")</f>
        <v>View</v>
      </c>
    </row>
    <row r="2183" spans="1:21" ht="20.399999999999999">
      <c r="A2183" s="6">
        <v>43440.882916666669</v>
      </c>
      <c r="B2183" s="7" t="str">
        <f>HYPERLINK("https://twitter.com/Mdelabahia","@Mdelabahia")</f>
        <v>@Mdelabahia</v>
      </c>
      <c r="C2183" s="8" t="s">
        <v>7453</v>
      </c>
      <c r="D2183" s="9" t="s">
        <v>7454</v>
      </c>
      <c r="E2183" s="10" t="str">
        <f>HYPERLINK("https://twitter.com/Mdelabahia/status/1070772715831857152","1070772715831857152")</f>
        <v>1070772715831857152</v>
      </c>
      <c r="F2183" s="11"/>
      <c r="G2183" s="11"/>
      <c r="H2183" s="11"/>
      <c r="I2183" s="13">
        <v>0</v>
      </c>
      <c r="J2183" s="13">
        <v>1</v>
      </c>
      <c r="K2183" s="14" t="str">
        <f>HYPERLINK("http://twitter.com/download/iphone","Twitter for iPhone")</f>
        <v>Twitter for iPhone</v>
      </c>
      <c r="L2183" s="13">
        <v>821</v>
      </c>
      <c r="M2183" s="13">
        <v>467</v>
      </c>
      <c r="N2183" s="13">
        <v>49</v>
      </c>
      <c r="O2183" s="15"/>
      <c r="P2183" s="6">
        <v>40296.975520833337</v>
      </c>
      <c r="Q2183" s="11"/>
      <c r="R2183" s="19" t="s">
        <v>7455</v>
      </c>
      <c r="S2183" s="11"/>
      <c r="T2183" s="11"/>
      <c r="U2183" s="10" t="str">
        <f>HYPERLINK("https://pbs.twimg.com/profile_images/1048279952783802368/dTp_OFcM.jpg","View")</f>
        <v>View</v>
      </c>
    </row>
    <row r="2184" spans="1:21" ht="51">
      <c r="A2184" s="6">
        <v>43440.882106481484</v>
      </c>
      <c r="B2184" s="7" t="str">
        <f>HYPERLINK("https://twitter.com/JrnCalo","@JrnCalo")</f>
        <v>@JrnCalo</v>
      </c>
      <c r="C2184" s="8" t="s">
        <v>4353</v>
      </c>
      <c r="D2184" s="9" t="s">
        <v>4355</v>
      </c>
      <c r="E2184" s="10" t="str">
        <f>HYPERLINK("https://twitter.com/JrnCalo/status/1070772425623855108","1070772425623855108")</f>
        <v>1070772425623855108</v>
      </c>
      <c r="F2184" s="11"/>
      <c r="G2184" s="11"/>
      <c r="H2184" s="11"/>
      <c r="I2184" s="13">
        <v>0</v>
      </c>
      <c r="J2184" s="13">
        <v>0</v>
      </c>
      <c r="K2184" s="14" t="str">
        <f t="shared" ref="K2184:K2185" si="374">HYPERLINK("http://twitter.com","Twitter Web Client")</f>
        <v>Twitter Web Client</v>
      </c>
      <c r="L2184" s="13">
        <v>450</v>
      </c>
      <c r="M2184" s="13">
        <v>1496</v>
      </c>
      <c r="N2184" s="13">
        <v>34</v>
      </c>
      <c r="O2184" s="15"/>
      <c r="P2184" s="6">
        <v>39317.171365740738</v>
      </c>
      <c r="Q2184" s="29" t="s">
        <v>4356</v>
      </c>
      <c r="R2184" s="19" t="s">
        <v>4357</v>
      </c>
      <c r="S2184" s="12" t="s">
        <v>4358</v>
      </c>
      <c r="T2184" s="11"/>
      <c r="U2184" s="10" t="str">
        <f>HYPERLINK("https://pbs.twimg.com/profile_images/660966983693922304/9Z6CzWok.jpg","View")</f>
        <v>View</v>
      </c>
    </row>
    <row r="2185" spans="1:21" ht="30.6">
      <c r="A2185" s="6">
        <v>43440.881874999999</v>
      </c>
      <c r="B2185" s="7" t="str">
        <f>HYPERLINK("https://twitter.com/mehuelea","@mehuelea")</f>
        <v>@mehuelea</v>
      </c>
      <c r="C2185" s="8" t="s">
        <v>7456</v>
      </c>
      <c r="D2185" s="9" t="s">
        <v>7457</v>
      </c>
      <c r="E2185" s="10" t="str">
        <f>HYPERLINK("https://twitter.com/mehuelea/status/1070772342073319425","1070772342073319425")</f>
        <v>1070772342073319425</v>
      </c>
      <c r="F2185" s="12" t="s">
        <v>7458</v>
      </c>
      <c r="G2185" s="11"/>
      <c r="H2185" s="11"/>
      <c r="I2185" s="13">
        <v>0</v>
      </c>
      <c r="J2185" s="13">
        <v>0</v>
      </c>
      <c r="K2185" s="14" t="str">
        <f t="shared" si="374"/>
        <v>Twitter Web Client</v>
      </c>
      <c r="L2185" s="13">
        <v>3359</v>
      </c>
      <c r="M2185" s="13">
        <v>2757</v>
      </c>
      <c r="N2185" s="13">
        <v>26</v>
      </c>
      <c r="O2185" s="15"/>
      <c r="P2185" s="6">
        <v>40682.359872685185</v>
      </c>
      <c r="Q2185" s="18" t="s">
        <v>7459</v>
      </c>
      <c r="R2185" s="19" t="s">
        <v>7460</v>
      </c>
      <c r="S2185" s="12" t="s">
        <v>7461</v>
      </c>
      <c r="T2185" s="11"/>
      <c r="U2185" s="10" t="str">
        <f>HYPERLINK("https://pbs.twimg.com/profile_images/786420110919696384/2z6X6h6j.jpg","View")</f>
        <v>View</v>
      </c>
    </row>
    <row r="2186" spans="1:21" ht="81.599999999999994">
      <c r="A2186" s="6">
        <v>43440.881782407407</v>
      </c>
      <c r="B2186" s="7" t="str">
        <f>HYPERLINK("https://twitter.com/Crintar75","@Crintar75")</f>
        <v>@Crintar75</v>
      </c>
      <c r="C2186" s="8" t="s">
        <v>3864</v>
      </c>
      <c r="D2186" s="9" t="s">
        <v>4362</v>
      </c>
      <c r="E2186" s="10" t="str">
        <f>HYPERLINK("https://twitter.com/Crintar75/status/1070772304416817158","1070772304416817158")</f>
        <v>1070772304416817158</v>
      </c>
      <c r="F2186" s="18" t="s">
        <v>4365</v>
      </c>
      <c r="G2186" s="11"/>
      <c r="H2186" s="11"/>
      <c r="I2186" s="13">
        <v>0</v>
      </c>
      <c r="J2186" s="13">
        <v>0</v>
      </c>
      <c r="K2186" s="14" t="str">
        <f>HYPERLINK("http://twitter.com/download/iphone","Twitter for iPhone")</f>
        <v>Twitter for iPhone</v>
      </c>
      <c r="L2186" s="13">
        <v>153</v>
      </c>
      <c r="M2186" s="13">
        <v>667</v>
      </c>
      <c r="N2186" s="13">
        <v>5</v>
      </c>
      <c r="O2186" s="15"/>
      <c r="P2186" s="6">
        <v>40490.810370370367</v>
      </c>
      <c r="Q2186" s="11"/>
      <c r="R2186" s="19" t="s">
        <v>3867</v>
      </c>
      <c r="S2186" s="11"/>
      <c r="T2186" s="11"/>
      <c r="U2186" s="10" t="str">
        <f>HYPERLINK("https://pbs.twimg.com/profile_images/495979438568660993/uJyZ1Z5j.jpeg","View")</f>
        <v>View</v>
      </c>
    </row>
    <row r="2187" spans="1:21" ht="20.399999999999999">
      <c r="A2187" s="6">
        <v>43440.881608796291</v>
      </c>
      <c r="B2187" s="7" t="str">
        <f>HYPERLINK("https://twitter.com/septimio_severo","@septimio_severo")</f>
        <v>@septimio_severo</v>
      </c>
      <c r="C2187" s="8" t="s">
        <v>4369</v>
      </c>
      <c r="D2187" s="9" t="s">
        <v>4370</v>
      </c>
      <c r="E2187" s="10" t="str">
        <f>HYPERLINK("https://twitter.com/septimio_severo/status/1070772245331632129","1070772245331632129")</f>
        <v>1070772245331632129</v>
      </c>
      <c r="F2187" s="11"/>
      <c r="G2187" s="11"/>
      <c r="H2187" s="11"/>
      <c r="I2187" s="13">
        <v>0</v>
      </c>
      <c r="J2187" s="13">
        <v>1</v>
      </c>
      <c r="K2187" s="14" t="str">
        <f>HYPERLINK("http://twitter.com/download/android","Twitter for Android")</f>
        <v>Twitter for Android</v>
      </c>
      <c r="L2187" s="13">
        <v>599</v>
      </c>
      <c r="M2187" s="13">
        <v>351</v>
      </c>
      <c r="N2187" s="13">
        <v>10</v>
      </c>
      <c r="O2187" s="15"/>
      <c r="P2187" s="6">
        <v>40348.000416666662</v>
      </c>
      <c r="Q2187" s="18" t="s">
        <v>307</v>
      </c>
      <c r="R2187" s="19" t="s">
        <v>4372</v>
      </c>
      <c r="S2187" s="11"/>
      <c r="T2187" s="11"/>
      <c r="U2187" s="10" t="str">
        <f>HYPERLINK("https://pbs.twimg.com/profile_images/718910012878364672/8SzhvpVN.jpg","View")</f>
        <v>View</v>
      </c>
    </row>
    <row r="2188" spans="1:21" ht="20.399999999999999">
      <c r="A2188" s="6">
        <v>43440.881597222222</v>
      </c>
      <c r="B2188" s="7" t="str">
        <f>HYPERLINK("https://twitter.com/SR_huevosrotos","@SR_huevosrotos")</f>
        <v>@SR_huevosrotos</v>
      </c>
      <c r="C2188" s="8" t="s">
        <v>7462</v>
      </c>
      <c r="D2188" s="9" t="s">
        <v>7463</v>
      </c>
      <c r="E2188" s="10" t="str">
        <f>HYPERLINK("https://twitter.com/SR_huevosrotos/status/1070772241372205056","1070772241372205056")</f>
        <v>1070772241372205056</v>
      </c>
      <c r="F2188" s="12" t="s">
        <v>2454</v>
      </c>
      <c r="G2188" s="11"/>
      <c r="H2188" s="11"/>
      <c r="I2188" s="13">
        <v>0</v>
      </c>
      <c r="J2188" s="13">
        <v>0</v>
      </c>
      <c r="K2188" s="14" t="str">
        <f>HYPERLINK("https://www.google.com/","Google")</f>
        <v>Google</v>
      </c>
      <c r="L2188" s="13">
        <v>59</v>
      </c>
      <c r="M2188" s="13">
        <v>161</v>
      </c>
      <c r="N2188" s="13">
        <v>6</v>
      </c>
      <c r="O2188" s="15"/>
      <c r="P2188" s="6">
        <v>41937.950879629629</v>
      </c>
      <c r="Q2188" s="18" t="s">
        <v>7464</v>
      </c>
      <c r="R2188" s="19" t="s">
        <v>7465</v>
      </c>
      <c r="S2188" s="11"/>
      <c r="T2188" s="11"/>
      <c r="U2188" s="10" t="str">
        <f>HYPERLINK("https://pbs.twimg.com/profile_images/535161147565936640/SCQnmYrG.jpeg","View")</f>
        <v>View</v>
      </c>
    </row>
    <row r="2189" spans="1:21" ht="20.399999999999999">
      <c r="A2189" s="6">
        <v>43440.879895833335</v>
      </c>
      <c r="B2189" s="7" t="str">
        <f>HYPERLINK("https://twitter.com/K_u_n_t_a_Kinte","@K_u_n_t_a_Kinte")</f>
        <v>@K_u_n_t_a_Kinte</v>
      </c>
      <c r="C2189" s="8" t="s">
        <v>7466</v>
      </c>
      <c r="D2189" s="9" t="s">
        <v>7467</v>
      </c>
      <c r="E2189" s="10" t="str">
        <f>HYPERLINK("https://twitter.com/K_u_n_t_a_Kinte/status/1070771621349208064","1070771621349208064")</f>
        <v>1070771621349208064</v>
      </c>
      <c r="F2189" s="11"/>
      <c r="G2189" s="11"/>
      <c r="H2189" s="11"/>
      <c r="I2189" s="13">
        <v>0</v>
      </c>
      <c r="J2189" s="13">
        <v>0</v>
      </c>
      <c r="K2189" s="14" t="str">
        <f>HYPERLINK("http://twitter.com","Twitter Web Client")</f>
        <v>Twitter Web Client</v>
      </c>
      <c r="L2189" s="13">
        <v>47</v>
      </c>
      <c r="M2189" s="13">
        <v>6</v>
      </c>
      <c r="N2189" s="13">
        <v>0</v>
      </c>
      <c r="O2189" s="15"/>
      <c r="P2189" s="6">
        <v>43226.485115740739</v>
      </c>
      <c r="Q2189" s="18" t="s">
        <v>7468</v>
      </c>
      <c r="R2189" s="19" t="s">
        <v>7469</v>
      </c>
      <c r="S2189" s="11"/>
      <c r="T2189" s="11"/>
      <c r="U2189" s="10" t="str">
        <f>HYPERLINK("https://pbs.twimg.com/profile_images/993068105806045184/ltcr1nuM.jpg","View")</f>
        <v>View</v>
      </c>
    </row>
    <row r="2190" spans="1:21" ht="81.599999999999994">
      <c r="A2190" s="6">
        <v>43440.879849537036</v>
      </c>
      <c r="B2190" s="7" t="str">
        <f>HYPERLINK("https://twitter.com/Mayka41328150","@Mayka41328150")</f>
        <v>@Mayka41328150</v>
      </c>
      <c r="C2190" s="8" t="s">
        <v>4375</v>
      </c>
      <c r="D2190" s="9" t="s">
        <v>4376</v>
      </c>
      <c r="E2190" s="10" t="str">
        <f>HYPERLINK("https://twitter.com/Mayka41328150/status/1070771606820130819","1070771606820130819")</f>
        <v>1070771606820130819</v>
      </c>
      <c r="F2190" s="18" t="s">
        <v>4377</v>
      </c>
      <c r="G2190" s="11"/>
      <c r="H2190" s="11"/>
      <c r="I2190" s="13">
        <v>3</v>
      </c>
      <c r="J2190" s="13">
        <v>2</v>
      </c>
      <c r="K2190" s="14" t="str">
        <f>HYPERLINK("http://twitter.com/download/android","Twitter for Android")</f>
        <v>Twitter for Android</v>
      </c>
      <c r="L2190" s="13">
        <v>241</v>
      </c>
      <c r="M2190" s="13">
        <v>571</v>
      </c>
      <c r="N2190" s="13">
        <v>0</v>
      </c>
      <c r="O2190" s="15"/>
      <c r="P2190" s="6">
        <v>43059.086134259254</v>
      </c>
      <c r="Q2190" s="18" t="s">
        <v>42</v>
      </c>
      <c r="R2190" s="19" t="s">
        <v>4379</v>
      </c>
      <c r="S2190" s="11"/>
      <c r="T2190" s="11"/>
      <c r="U2190" s="10" t="str">
        <f>HYPERLINK("https://pbs.twimg.com/profile_images/1070752650705154049/T_B8woEA.jpg","View")</f>
        <v>View</v>
      </c>
    </row>
    <row r="2191" spans="1:21" ht="13.2">
      <c r="A2191" s="6">
        <v>43440.879004629634</v>
      </c>
      <c r="B2191" s="7" t="str">
        <f>HYPERLINK("https://twitter.com/Tariskov","@Tariskov")</f>
        <v>@Tariskov</v>
      </c>
      <c r="C2191" s="8" t="s">
        <v>7470</v>
      </c>
      <c r="D2191" s="9" t="s">
        <v>7471</v>
      </c>
      <c r="E2191" s="10" t="str">
        <f>HYPERLINK("https://twitter.com/Tariskov/status/1070771297733484553","1070771297733484553")</f>
        <v>1070771297733484553</v>
      </c>
      <c r="F2191" s="12" t="s">
        <v>7472</v>
      </c>
      <c r="G2191" s="11"/>
      <c r="H2191" s="11"/>
      <c r="I2191" s="13">
        <v>0</v>
      </c>
      <c r="J2191" s="13">
        <v>0</v>
      </c>
      <c r="K2191" s="14" t="str">
        <f>HYPERLINK("http://twitter.com","Twitter Web Client")</f>
        <v>Twitter Web Client</v>
      </c>
      <c r="L2191" s="13">
        <v>121</v>
      </c>
      <c r="M2191" s="13">
        <v>109</v>
      </c>
      <c r="N2191" s="13">
        <v>2</v>
      </c>
      <c r="O2191" s="15"/>
      <c r="P2191" s="6">
        <v>41463.356979166667</v>
      </c>
      <c r="Q2191" s="18" t="s">
        <v>404</v>
      </c>
      <c r="R2191" s="17"/>
      <c r="S2191" s="11"/>
      <c r="T2191" s="11"/>
      <c r="U2191" s="10" t="str">
        <f>HYPERLINK("https://pbs.twimg.com/profile_images/915526060132970496/GzniBIn5.jpg","View")</f>
        <v>View</v>
      </c>
    </row>
    <row r="2192" spans="1:21" ht="30.6">
      <c r="A2192" s="6">
        <v>43440.878449074073</v>
      </c>
      <c r="B2192" s="7" t="str">
        <f>HYPERLINK("https://twitter.com/tarracovalver","@tarracovalver")</f>
        <v>@tarracovalver</v>
      </c>
      <c r="C2192" s="8" t="s">
        <v>7473</v>
      </c>
      <c r="D2192" s="9" t="s">
        <v>7474</v>
      </c>
      <c r="E2192" s="10" t="str">
        <f>HYPERLINK("https://twitter.com/tarracovalver/status/1070771097002565632","1070771097002565632")</f>
        <v>1070771097002565632</v>
      </c>
      <c r="F2192" s="11"/>
      <c r="G2192" s="12" t="s">
        <v>7475</v>
      </c>
      <c r="H2192" s="11"/>
      <c r="I2192" s="13">
        <v>0</v>
      </c>
      <c r="J2192" s="13">
        <v>0</v>
      </c>
      <c r="K2192" s="14" t="str">
        <f t="shared" ref="K2192:K2193" si="375">HYPERLINK("http://twitter.com/download/android","Twitter for Android")</f>
        <v>Twitter for Android</v>
      </c>
      <c r="L2192" s="13">
        <v>867</v>
      </c>
      <c r="M2192" s="13">
        <v>2054</v>
      </c>
      <c r="N2192" s="13">
        <v>8</v>
      </c>
      <c r="O2192" s="15"/>
      <c r="P2192" s="6">
        <v>41894.711087962962</v>
      </c>
      <c r="Q2192" s="18" t="s">
        <v>42</v>
      </c>
      <c r="R2192" s="19" t="s">
        <v>7476</v>
      </c>
      <c r="S2192" s="11"/>
      <c r="T2192" s="11"/>
      <c r="U2192" s="10" t="str">
        <f>HYPERLINK("https://pbs.twimg.com/profile_images/798978928861970434/30ZaC1Fc.jpg","View")</f>
        <v>View</v>
      </c>
    </row>
    <row r="2193" spans="1:21" ht="30.6">
      <c r="A2193" s="6">
        <v>43440.877766203703</v>
      </c>
      <c r="B2193" s="7" t="str">
        <f>HYPERLINK("https://twitter.com/fegabriel7","@fegabriel7")</f>
        <v>@fegabriel7</v>
      </c>
      <c r="C2193" s="8" t="s">
        <v>7477</v>
      </c>
      <c r="D2193" s="9" t="s">
        <v>7478</v>
      </c>
      <c r="E2193" s="10" t="str">
        <f>HYPERLINK("https://twitter.com/fegabriel7/status/1070770849442131970","1070770849442131970")</f>
        <v>1070770849442131970</v>
      </c>
      <c r="F2193" s="12" t="s">
        <v>1051</v>
      </c>
      <c r="G2193" s="11"/>
      <c r="H2193" s="11"/>
      <c r="I2193" s="13">
        <v>0</v>
      </c>
      <c r="J2193" s="13">
        <v>0</v>
      </c>
      <c r="K2193" s="14" t="str">
        <f t="shared" si="375"/>
        <v>Twitter for Android</v>
      </c>
      <c r="L2193" s="13">
        <v>326</v>
      </c>
      <c r="M2193" s="13">
        <v>903</v>
      </c>
      <c r="N2193" s="13">
        <v>2</v>
      </c>
      <c r="O2193" s="15"/>
      <c r="P2193" s="6">
        <v>43383.605624999997</v>
      </c>
      <c r="Q2193" s="18" t="s">
        <v>5301</v>
      </c>
      <c r="R2193" s="19" t="s">
        <v>7479</v>
      </c>
      <c r="S2193" s="11"/>
      <c r="T2193" s="11"/>
      <c r="U2193" s="10" t="str">
        <f>HYPERLINK("https://pbs.twimg.com/profile_images/1064476471283118080/I9dl5gwQ.jpg","View")</f>
        <v>View</v>
      </c>
    </row>
    <row r="2194" spans="1:21" ht="81.599999999999994">
      <c r="A2194" s="6">
        <v>43440.877372685187</v>
      </c>
      <c r="B2194" s="7" t="str">
        <f>HYPERLINK("https://twitter.com/adriminano","@adriminano")</f>
        <v>@adriminano</v>
      </c>
      <c r="C2194" s="8" t="s">
        <v>4382</v>
      </c>
      <c r="D2194" s="9" t="s">
        <v>4383</v>
      </c>
      <c r="E2194" s="10" t="str">
        <f>HYPERLINK("https://twitter.com/adriminano/status/1070770707322335232","1070770707322335232")</f>
        <v>1070770707322335232</v>
      </c>
      <c r="F2194" s="12" t="s">
        <v>4385</v>
      </c>
      <c r="G2194" s="12" t="s">
        <v>4386</v>
      </c>
      <c r="H2194" s="11"/>
      <c r="I2194" s="13">
        <v>0</v>
      </c>
      <c r="J2194" s="13">
        <v>0</v>
      </c>
      <c r="K2194" s="14" t="str">
        <f>HYPERLINK("http://twitter.com/download/iphone","Twitter for iPhone")</f>
        <v>Twitter for iPhone</v>
      </c>
      <c r="L2194" s="13">
        <v>930</v>
      </c>
      <c r="M2194" s="13">
        <v>641</v>
      </c>
      <c r="N2194" s="13">
        <v>11</v>
      </c>
      <c r="O2194" s="15"/>
      <c r="P2194" s="6">
        <v>40698.493101851855</v>
      </c>
      <c r="Q2194" s="11"/>
      <c r="R2194" s="19" t="s">
        <v>4390</v>
      </c>
      <c r="S2194" s="11"/>
      <c r="T2194" s="11"/>
      <c r="U2194" s="10" t="str">
        <f>HYPERLINK("https://pbs.twimg.com/profile_images/953139077389410304/DLeuTfbw.jpg","View")</f>
        <v>View</v>
      </c>
    </row>
    <row r="2195" spans="1:21" ht="30.6">
      <c r="A2195" s="6">
        <v>43440.877013888894</v>
      </c>
      <c r="B2195" s="7" t="str">
        <f>HYPERLINK("https://twitter.com/QuiqueGarci","@QuiqueGarci")</f>
        <v>@QuiqueGarci</v>
      </c>
      <c r="C2195" s="8" t="s">
        <v>6450</v>
      </c>
      <c r="D2195" s="9" t="s">
        <v>7480</v>
      </c>
      <c r="E2195" s="10" t="str">
        <f>HYPERLINK("https://twitter.com/QuiqueGarci/status/1070770576510410752","1070770576510410752")</f>
        <v>1070770576510410752</v>
      </c>
      <c r="F2195" s="11"/>
      <c r="G2195" s="11"/>
      <c r="H2195" s="11"/>
      <c r="I2195" s="13">
        <v>0</v>
      </c>
      <c r="J2195" s="13">
        <v>0</v>
      </c>
      <c r="K2195" s="14" t="str">
        <f t="shared" ref="K2195:K2197" si="376">HYPERLINK("http://twitter.com/download/android","Twitter for Android")</f>
        <v>Twitter for Android</v>
      </c>
      <c r="L2195" s="13">
        <v>480</v>
      </c>
      <c r="M2195" s="13">
        <v>743</v>
      </c>
      <c r="N2195" s="13">
        <v>4</v>
      </c>
      <c r="O2195" s="15"/>
      <c r="P2195" s="6">
        <v>41978.547835648147</v>
      </c>
      <c r="Q2195" s="11"/>
      <c r="R2195" s="17"/>
      <c r="S2195" s="11"/>
      <c r="T2195" s="11"/>
      <c r="U2195" s="10" t="str">
        <f>HYPERLINK("https://pbs.twimg.com/profile_images/957284913404837894/ohDborFX.jpg","View")</f>
        <v>View</v>
      </c>
    </row>
    <row r="2196" spans="1:21" ht="40.799999999999997">
      <c r="A2196" s="6">
        <v>43440.876504629632</v>
      </c>
      <c r="B2196" s="7" t="str">
        <f>HYPERLINK("https://twitter.com/AlexCM_Lib","@AlexCM_Lib")</f>
        <v>@AlexCM_Lib</v>
      </c>
      <c r="C2196" s="8" t="s">
        <v>7481</v>
      </c>
      <c r="D2196" s="9" t="s">
        <v>7482</v>
      </c>
      <c r="E2196" s="10" t="str">
        <f>HYPERLINK("https://twitter.com/AlexCM_Lib/status/1070770391927439367","1070770391927439367")</f>
        <v>1070770391927439367</v>
      </c>
      <c r="F2196" s="12" t="s">
        <v>2595</v>
      </c>
      <c r="G2196" s="11"/>
      <c r="H2196" s="11"/>
      <c r="I2196" s="13">
        <v>3</v>
      </c>
      <c r="J2196" s="13">
        <v>4</v>
      </c>
      <c r="K2196" s="14" t="str">
        <f t="shared" si="376"/>
        <v>Twitter for Android</v>
      </c>
      <c r="L2196" s="13">
        <v>486</v>
      </c>
      <c r="M2196" s="13">
        <v>384</v>
      </c>
      <c r="N2196" s="13">
        <v>6</v>
      </c>
      <c r="O2196" s="15"/>
      <c r="P2196" s="6">
        <v>40821.886770833335</v>
      </c>
      <c r="Q2196" s="18" t="s">
        <v>7483</v>
      </c>
      <c r="R2196" s="19" t="s">
        <v>7484</v>
      </c>
      <c r="S2196" s="11"/>
      <c r="T2196" s="11"/>
      <c r="U2196" s="10" t="str">
        <f>HYPERLINK("https://pbs.twimg.com/profile_images/1054465159492788224/6gcC5VyL.jpg","View")</f>
        <v>View</v>
      </c>
    </row>
    <row r="2197" spans="1:21" ht="20.399999999999999">
      <c r="A2197" s="6">
        <v>43440.876018518524</v>
      </c>
      <c r="B2197" s="7" t="str">
        <f>HYPERLINK("https://twitter.com/CCrocketta","@CCrocketta")</f>
        <v>@CCrocketta</v>
      </c>
      <c r="C2197" s="8" t="s">
        <v>3776</v>
      </c>
      <c r="D2197" s="9" t="s">
        <v>7485</v>
      </c>
      <c r="E2197" s="10" t="str">
        <f>HYPERLINK("https://twitter.com/CCrocketta/status/1070770219436699649","1070770219436699649")</f>
        <v>1070770219436699649</v>
      </c>
      <c r="F2197" s="12" t="s">
        <v>7486</v>
      </c>
      <c r="G2197" s="11"/>
      <c r="H2197" s="11"/>
      <c r="I2197" s="13">
        <v>0</v>
      </c>
      <c r="J2197" s="13">
        <v>0</v>
      </c>
      <c r="K2197" s="14" t="str">
        <f t="shared" si="376"/>
        <v>Twitter for Android</v>
      </c>
      <c r="L2197" s="13">
        <v>114</v>
      </c>
      <c r="M2197" s="13">
        <v>162</v>
      </c>
      <c r="N2197" s="13">
        <v>4</v>
      </c>
      <c r="O2197" s="15"/>
      <c r="P2197" s="6">
        <v>43357.833784722221</v>
      </c>
      <c r="Q2197" s="18" t="s">
        <v>41</v>
      </c>
      <c r="R2197" s="19" t="s">
        <v>3780</v>
      </c>
      <c r="S2197" s="11"/>
      <c r="T2197" s="11"/>
      <c r="U2197" s="10" t="str">
        <f>HYPERLINK("https://pbs.twimg.com/profile_images/1070445411490521088/dOS0An-A.jpg","View")</f>
        <v>View</v>
      </c>
    </row>
    <row r="2198" spans="1:21" ht="20.399999999999999">
      <c r="A2198" s="6">
        <v>43440.876018518524</v>
      </c>
      <c r="B2198" s="7" t="str">
        <f>HYPERLINK("https://twitter.com/MrDrakeRM","@MrDrakeRM")</f>
        <v>@MrDrakeRM</v>
      </c>
      <c r="C2198" s="8" t="s">
        <v>6946</v>
      </c>
      <c r="D2198" s="9" t="s">
        <v>7487</v>
      </c>
      <c r="E2198" s="10" t="str">
        <f>HYPERLINK("https://twitter.com/MrDrakeRM/status/1070770219386396678","1070770219386396678")</f>
        <v>1070770219386396678</v>
      </c>
      <c r="F2198" s="11"/>
      <c r="G2198" s="12" t="s">
        <v>7488</v>
      </c>
      <c r="H2198" s="11"/>
      <c r="I2198" s="13">
        <v>0</v>
      </c>
      <c r="J2198" s="13">
        <v>0</v>
      </c>
      <c r="K2198" s="14" t="str">
        <f>HYPERLINK("http://twitter.com/download/iphone","Twitter for iPhone")</f>
        <v>Twitter for iPhone</v>
      </c>
      <c r="L2198" s="13">
        <v>75</v>
      </c>
      <c r="M2198" s="13">
        <v>121</v>
      </c>
      <c r="N2198" s="13">
        <v>1</v>
      </c>
      <c r="O2198" s="15"/>
      <c r="P2198" s="6">
        <v>43323.65725694444</v>
      </c>
      <c r="Q2198" s="11"/>
      <c r="R2198" s="19" t="s">
        <v>6949</v>
      </c>
      <c r="S2198" s="11"/>
      <c r="T2198" s="11"/>
      <c r="U2198" s="10" t="str">
        <f>HYPERLINK("https://pbs.twimg.com/profile_images/1039125851173019648/JRXrNgvZ.jpg","View")</f>
        <v>View</v>
      </c>
    </row>
    <row r="2199" spans="1:21" ht="40.799999999999997">
      <c r="A2199" s="6">
        <v>43440.875925925924</v>
      </c>
      <c r="B2199" s="7" t="str">
        <f>HYPERLINK("https://twitter.com/Gotzon86Gotzon","@Gotzon86Gotzon")</f>
        <v>@Gotzon86Gotzon</v>
      </c>
      <c r="C2199" s="8" t="s">
        <v>4394</v>
      </c>
      <c r="D2199" s="9" t="s">
        <v>4395</v>
      </c>
      <c r="E2199" s="10" t="str">
        <f>HYPERLINK("https://twitter.com/Gotzon86Gotzon/status/1070770184313585665","1070770184313585665")</f>
        <v>1070770184313585665</v>
      </c>
      <c r="F2199" s="11"/>
      <c r="G2199" s="11"/>
      <c r="H2199" s="11"/>
      <c r="I2199" s="13">
        <v>0</v>
      </c>
      <c r="J2199" s="13">
        <v>0</v>
      </c>
      <c r="K2199" s="14" t="str">
        <f>HYPERLINK("http://twitter.com/download/android","Twitter for Android")</f>
        <v>Twitter for Android</v>
      </c>
      <c r="L2199" s="13">
        <v>963</v>
      </c>
      <c r="M2199" s="13">
        <v>152</v>
      </c>
      <c r="N2199" s="13">
        <v>20</v>
      </c>
      <c r="O2199" s="15"/>
      <c r="P2199" s="6">
        <v>41247.585740740738</v>
      </c>
      <c r="Q2199" s="18" t="s">
        <v>4398</v>
      </c>
      <c r="R2199" s="19" t="s">
        <v>4399</v>
      </c>
      <c r="S2199" s="11"/>
      <c r="T2199" s="11"/>
      <c r="U2199" s="10" t="str">
        <f>HYPERLINK("https://pbs.twimg.com/profile_images/480067635661783040/yizne4ok.jpeg","View")</f>
        <v>View</v>
      </c>
    </row>
    <row r="2200" spans="1:21" ht="20.399999999999999">
      <c r="A2200" s="6">
        <v>43440.875868055555</v>
      </c>
      <c r="B2200" s="7" t="str">
        <f>HYPERLINK("https://twitter.com/lolapastur","@lolapastur")</f>
        <v>@lolapastur</v>
      </c>
      <c r="C2200" s="8" t="s">
        <v>2253</v>
      </c>
      <c r="D2200" s="9" t="s">
        <v>3591</v>
      </c>
      <c r="E2200" s="10" t="str">
        <f>HYPERLINK("https://twitter.com/lolapastur/status/1070770162020818944","1070770162020818944")</f>
        <v>1070770162020818944</v>
      </c>
      <c r="F2200" s="12" t="s">
        <v>3258</v>
      </c>
      <c r="G2200" s="11"/>
      <c r="H2200" s="11"/>
      <c r="I2200" s="13">
        <v>0</v>
      </c>
      <c r="J2200" s="13">
        <v>0</v>
      </c>
      <c r="K2200" s="14" t="str">
        <f>HYPERLINK("http://twitter.com/download/iphone","Twitter for iPhone")</f>
        <v>Twitter for iPhone</v>
      </c>
      <c r="L2200" s="13">
        <v>3784</v>
      </c>
      <c r="M2200" s="13">
        <v>2833</v>
      </c>
      <c r="N2200" s="13">
        <v>33</v>
      </c>
      <c r="O2200" s="15"/>
      <c r="P2200" s="6">
        <v>40913.599293981482</v>
      </c>
      <c r="Q2200" s="11"/>
      <c r="R2200" s="19" t="s">
        <v>2258</v>
      </c>
      <c r="S2200" s="11"/>
      <c r="T2200" s="11"/>
      <c r="U2200" s="10" t="str">
        <f>HYPERLINK("https://pbs.twimg.com/profile_images/934821295736451073/tnymHvNj.jpg","View")</f>
        <v>View</v>
      </c>
    </row>
    <row r="2201" spans="1:21" ht="51">
      <c r="A2201" s="6">
        <v>43440.873958333337</v>
      </c>
      <c r="B2201" s="7" t="str">
        <f>HYPERLINK("https://twitter.com/ViendoElPercal_","@ViendoElPercal_")</f>
        <v>@ViendoElPercal_</v>
      </c>
      <c r="C2201" s="8" t="s">
        <v>4401</v>
      </c>
      <c r="D2201" s="9" t="s">
        <v>4402</v>
      </c>
      <c r="E2201" s="10" t="str">
        <f>HYPERLINK("https://twitter.com/ViendoElPercal_/status/1070769471994904578","1070769471994904578")</f>
        <v>1070769471994904578</v>
      </c>
      <c r="F2201" s="11"/>
      <c r="G2201" s="12" t="s">
        <v>4403</v>
      </c>
      <c r="H2201" s="11"/>
      <c r="I2201" s="13">
        <v>0</v>
      </c>
      <c r="J2201" s="13">
        <v>2</v>
      </c>
      <c r="K2201" s="14" t="str">
        <f>HYPERLINK("http://twitter.com/download/android","Twitter for Android")</f>
        <v>Twitter for Android</v>
      </c>
      <c r="L2201" s="13">
        <v>237</v>
      </c>
      <c r="M2201" s="13">
        <v>163</v>
      </c>
      <c r="N2201" s="13">
        <v>0</v>
      </c>
      <c r="O2201" s="15"/>
      <c r="P2201" s="6">
        <v>43304.570057870369</v>
      </c>
      <c r="Q2201" s="18" t="s">
        <v>4404</v>
      </c>
      <c r="R2201" s="19" t="s">
        <v>4405</v>
      </c>
      <c r="S2201" s="11"/>
      <c r="T2201" s="11"/>
      <c r="U2201" s="10" t="str">
        <f>HYPERLINK("https://pbs.twimg.com/profile_images/1062882226323578880/5NGehVXt.jpg","View")</f>
        <v>View</v>
      </c>
    </row>
    <row r="2202" spans="1:21" ht="30.6">
      <c r="A2202" s="6">
        <v>43440.873483796298</v>
      </c>
      <c r="B2202" s="7" t="str">
        <f>HYPERLINK("https://twitter.com/Piolinna","@Piolinna")</f>
        <v>@Piolinna</v>
      </c>
      <c r="C2202" s="8" t="s">
        <v>7489</v>
      </c>
      <c r="D2202" s="9" t="s">
        <v>7490</v>
      </c>
      <c r="E2202" s="10" t="str">
        <f>HYPERLINK("https://twitter.com/Piolinna/status/1070769300527570945","1070769300527570945")</f>
        <v>1070769300527570945</v>
      </c>
      <c r="F2202" s="12" t="s">
        <v>7491</v>
      </c>
      <c r="G2202" s="11"/>
      <c r="H2202" s="11"/>
      <c r="I2202" s="13">
        <v>3</v>
      </c>
      <c r="J2202" s="13">
        <v>3</v>
      </c>
      <c r="K2202" s="14" t="str">
        <f>HYPERLINK("http://twitter.com/#!/download/ipad","Twitter for iPad")</f>
        <v>Twitter for iPad</v>
      </c>
      <c r="L2202" s="13">
        <v>7791</v>
      </c>
      <c r="M2202" s="13">
        <v>4085</v>
      </c>
      <c r="N2202" s="13">
        <v>267</v>
      </c>
      <c r="O2202" s="15"/>
      <c r="P2202" s="6">
        <v>39907.891898148147</v>
      </c>
      <c r="Q2202" s="11"/>
      <c r="R2202" s="19" t="s">
        <v>7492</v>
      </c>
      <c r="S2202" s="11"/>
      <c r="T2202" s="11"/>
      <c r="U2202" s="10" t="str">
        <f>HYPERLINK("https://pbs.twimg.com/profile_images/1011313531915067392/ylOpf_Kr.jpg","View")</f>
        <v>View</v>
      </c>
    </row>
    <row r="2203" spans="1:21" ht="40.799999999999997">
      <c r="A2203" s="6">
        <v>43440.873460648145</v>
      </c>
      <c r="B2203" s="7" t="str">
        <f>HYPERLINK("https://twitter.com/Mayka41328150","@Mayka41328150")</f>
        <v>@Mayka41328150</v>
      </c>
      <c r="C2203" s="8" t="s">
        <v>4375</v>
      </c>
      <c r="D2203" s="9" t="s">
        <v>7493</v>
      </c>
      <c r="E2203" s="10" t="str">
        <f>HYPERLINK("https://twitter.com/Mayka41328150/status/1070769290092122112","1070769290092122112")</f>
        <v>1070769290092122112</v>
      </c>
      <c r="F2203" s="12" t="s">
        <v>7494</v>
      </c>
      <c r="G2203" s="12" t="s">
        <v>7495</v>
      </c>
      <c r="H2203" s="11"/>
      <c r="I2203" s="13">
        <v>1</v>
      </c>
      <c r="J2203" s="13">
        <v>2</v>
      </c>
      <c r="K2203" s="14" t="str">
        <f>HYPERLINK("http://twitter.com/download/android","Twitter for Android")</f>
        <v>Twitter for Android</v>
      </c>
      <c r="L2203" s="13">
        <v>241</v>
      </c>
      <c r="M2203" s="13">
        <v>571</v>
      </c>
      <c r="N2203" s="13">
        <v>0</v>
      </c>
      <c r="O2203" s="15"/>
      <c r="P2203" s="6">
        <v>43059.086134259254</v>
      </c>
      <c r="Q2203" s="18" t="s">
        <v>42</v>
      </c>
      <c r="R2203" s="19" t="s">
        <v>4379</v>
      </c>
      <c r="S2203" s="11"/>
      <c r="T2203" s="11"/>
      <c r="U2203" s="10" t="str">
        <f>HYPERLINK("https://pbs.twimg.com/profile_images/1070752650705154049/T_B8woEA.jpg","View")</f>
        <v>View</v>
      </c>
    </row>
    <row r="2204" spans="1:21" ht="20.399999999999999">
      <c r="A2204" s="6">
        <v>43440.872766203705</v>
      </c>
      <c r="B2204" s="7" t="str">
        <f>HYPERLINK("https://twitter.com/MagdaQR","@MagdaQR")</f>
        <v>@MagdaQR</v>
      </c>
      <c r="C2204" s="8" t="s">
        <v>1481</v>
      </c>
      <c r="D2204" s="9" t="s">
        <v>4407</v>
      </c>
      <c r="E2204" s="10" t="str">
        <f>HYPERLINK("https://twitter.com/MagdaQR/status/1070769039339872256","1070769039339872256")</f>
        <v>1070769039339872256</v>
      </c>
      <c r="F2204" s="11"/>
      <c r="G2204" s="11"/>
      <c r="H2204" s="11"/>
      <c r="I2204" s="13">
        <v>0</v>
      </c>
      <c r="J2204" s="13">
        <v>0</v>
      </c>
      <c r="K2204" s="14" t="str">
        <f>HYPERLINK("http://twitter.com/download/iphone","Twitter for iPhone")</f>
        <v>Twitter for iPhone</v>
      </c>
      <c r="L2204" s="13">
        <v>183</v>
      </c>
      <c r="M2204" s="13">
        <v>425</v>
      </c>
      <c r="N2204" s="13">
        <v>9</v>
      </c>
      <c r="O2204" s="15"/>
      <c r="P2204" s="6">
        <v>41292.960891203707</v>
      </c>
      <c r="Q2204" s="11"/>
      <c r="R2204" s="19" t="s">
        <v>1484</v>
      </c>
      <c r="S2204" s="11"/>
      <c r="T2204" s="11"/>
      <c r="U2204" s="10" t="str">
        <f>HYPERLINK("https://pbs.twimg.com/profile_images/1017165496280666112/YVBuLPNe.jpg","View")</f>
        <v>View</v>
      </c>
    </row>
    <row r="2205" spans="1:21" ht="20.399999999999999">
      <c r="A2205" s="6">
        <v>43440.872442129628</v>
      </c>
      <c r="B2205" s="7" t="str">
        <f>HYPERLINK("https://twitter.com/llino07","@llino07")</f>
        <v>@llino07</v>
      </c>
      <c r="C2205" s="8" t="s">
        <v>4412</v>
      </c>
      <c r="D2205" s="9" t="s">
        <v>4413</v>
      </c>
      <c r="E2205" s="10" t="str">
        <f>HYPERLINK("https://twitter.com/llino07/status/1070768919768694784","1070768919768694784")</f>
        <v>1070768919768694784</v>
      </c>
      <c r="F2205" s="11"/>
      <c r="G2205" s="11"/>
      <c r="H2205" s="11"/>
      <c r="I2205" s="13">
        <v>0</v>
      </c>
      <c r="J2205" s="13">
        <v>0</v>
      </c>
      <c r="K2205" s="14" t="str">
        <f>HYPERLINK("http://twitter.com/download/android","Twitter for Android")</f>
        <v>Twitter for Android</v>
      </c>
      <c r="L2205" s="13">
        <v>129</v>
      </c>
      <c r="M2205" s="13">
        <v>60</v>
      </c>
      <c r="N2205" s="13">
        <v>1</v>
      </c>
      <c r="O2205" s="15"/>
      <c r="P2205" s="6">
        <v>43016.766006944439</v>
      </c>
      <c r="Q2205" s="18" t="s">
        <v>4416</v>
      </c>
      <c r="R2205" s="19" t="s">
        <v>4417</v>
      </c>
      <c r="S2205" s="11"/>
      <c r="T2205" s="11"/>
      <c r="U2205" s="10" t="str">
        <f>HYPERLINK("https://pbs.twimg.com/profile_images/1060859741117837314/aHIfL8mN.jpg","View")</f>
        <v>View</v>
      </c>
    </row>
    <row r="2206" spans="1:21" ht="20.399999999999999">
      <c r="A2206" s="6">
        <v>43440.87232638889</v>
      </c>
      <c r="B2206" s="7" t="str">
        <f>HYPERLINK("https://twitter.com/_Ruiz_Fini","@_Ruiz_Fini")</f>
        <v>@_Ruiz_Fini</v>
      </c>
      <c r="C2206" s="8" t="s">
        <v>7496</v>
      </c>
      <c r="D2206" s="9" t="s">
        <v>4568</v>
      </c>
      <c r="E2206" s="10" t="str">
        <f>HYPERLINK("https://twitter.com/_Ruiz_Fini/status/1070768879184592897","1070768879184592897")</f>
        <v>1070768879184592897</v>
      </c>
      <c r="F2206" s="12" t="s">
        <v>4569</v>
      </c>
      <c r="G2206" s="11"/>
      <c r="H2206" s="11"/>
      <c r="I2206" s="13">
        <v>0</v>
      </c>
      <c r="J2206" s="13">
        <v>0</v>
      </c>
      <c r="K2206" s="14" t="str">
        <f>HYPERLINK("http://twitter.com/download/iphone","Twitter for iPhone")</f>
        <v>Twitter for iPhone</v>
      </c>
      <c r="L2206" s="13">
        <v>580</v>
      </c>
      <c r="M2206" s="13">
        <v>746</v>
      </c>
      <c r="N2206" s="13">
        <v>24</v>
      </c>
      <c r="O2206" s="15"/>
      <c r="P2206" s="6">
        <v>42174.65829861111</v>
      </c>
      <c r="Q2206" s="18" t="s">
        <v>42</v>
      </c>
      <c r="R2206" s="19" t="s">
        <v>7497</v>
      </c>
      <c r="S2206" s="11"/>
      <c r="T2206" s="11"/>
      <c r="U2206" s="10" t="str">
        <f>HYPERLINK("https://pbs.twimg.com/profile_images/1070393832829792256/B_j_8-LE.jpg","View")</f>
        <v>View</v>
      </c>
    </row>
    <row r="2207" spans="1:21" ht="71.400000000000006">
      <c r="A2207" s="6">
        <v>43440.872303240743</v>
      </c>
      <c r="B2207" s="7" t="str">
        <f>HYPERLINK("https://twitter.com/Dead_pool1003","@Dead_pool1003")</f>
        <v>@Dead_pool1003</v>
      </c>
      <c r="C2207" s="8" t="s">
        <v>4418</v>
      </c>
      <c r="D2207" s="9" t="s">
        <v>4419</v>
      </c>
      <c r="E2207" s="10" t="str">
        <f>HYPERLINK("https://twitter.com/Dead_pool1003/status/1070768870615605248","1070768870615605248")</f>
        <v>1070768870615605248</v>
      </c>
      <c r="F2207" s="18" t="s">
        <v>4422</v>
      </c>
      <c r="G2207" s="11"/>
      <c r="H2207" s="11"/>
      <c r="I2207" s="13">
        <v>0</v>
      </c>
      <c r="J2207" s="13">
        <v>0</v>
      </c>
      <c r="K2207" s="14" t="str">
        <f>HYPERLINK("http://twitter.com/download/android","Twitter for Android")</f>
        <v>Twitter for Android</v>
      </c>
      <c r="L2207" s="13">
        <v>1716</v>
      </c>
      <c r="M2207" s="13">
        <v>820</v>
      </c>
      <c r="N2207" s="13">
        <v>8</v>
      </c>
      <c r="O2207" s="15"/>
      <c r="P2207" s="6">
        <v>42930.748310185183</v>
      </c>
      <c r="Q2207" s="18" t="s">
        <v>4424</v>
      </c>
      <c r="R2207" s="19" t="s">
        <v>4425</v>
      </c>
      <c r="S2207" s="11"/>
      <c r="T2207" s="11"/>
      <c r="U2207" s="10" t="str">
        <f>HYPERLINK("https://pbs.twimg.com/profile_images/965068899288043522/3RTsU080.jpg","View")</f>
        <v>View</v>
      </c>
    </row>
    <row r="2208" spans="1:21" ht="20.399999999999999">
      <c r="A2208" s="6">
        <v>43440.871435185181</v>
      </c>
      <c r="B2208" s="7" t="str">
        <f>HYPERLINK("https://twitter.com/lolapastur","@lolapastur")</f>
        <v>@lolapastur</v>
      </c>
      <c r="C2208" s="8" t="s">
        <v>2253</v>
      </c>
      <c r="D2208" s="9" t="s">
        <v>6766</v>
      </c>
      <c r="E2208" s="10" t="str">
        <f>HYPERLINK("https://twitter.com/lolapastur/status/1070768558064455687","1070768558064455687")</f>
        <v>1070768558064455687</v>
      </c>
      <c r="F2208" s="12" t="s">
        <v>6767</v>
      </c>
      <c r="G2208" s="11"/>
      <c r="H2208" s="11"/>
      <c r="I2208" s="13">
        <v>0</v>
      </c>
      <c r="J2208" s="13">
        <v>0</v>
      </c>
      <c r="K2208" s="14" t="str">
        <f t="shared" ref="K2208:K2211" si="377">HYPERLINK("http://twitter.com/download/iphone","Twitter for iPhone")</f>
        <v>Twitter for iPhone</v>
      </c>
      <c r="L2208" s="13">
        <v>3784</v>
      </c>
      <c r="M2208" s="13">
        <v>2833</v>
      </c>
      <c r="N2208" s="13">
        <v>33</v>
      </c>
      <c r="O2208" s="15"/>
      <c r="P2208" s="6">
        <v>40913.599293981482</v>
      </c>
      <c r="Q2208" s="11"/>
      <c r="R2208" s="19" t="s">
        <v>2258</v>
      </c>
      <c r="S2208" s="11"/>
      <c r="T2208" s="11"/>
      <c r="U2208" s="10" t="str">
        <f>HYPERLINK("https://pbs.twimg.com/profile_images/934821295736451073/tnymHvNj.jpg","View")</f>
        <v>View</v>
      </c>
    </row>
    <row r="2209" spans="1:21" ht="61.2">
      <c r="A2209" s="6">
        <v>43440.870798611111</v>
      </c>
      <c r="B2209" s="7" t="str">
        <f>HYPERLINK("https://twitter.com/crackdel2012","@crackdel2012")</f>
        <v>@crackdel2012</v>
      </c>
      <c r="C2209" s="8" t="s">
        <v>4428</v>
      </c>
      <c r="D2209" s="9" t="s">
        <v>4429</v>
      </c>
      <c r="E2209" s="10" t="str">
        <f>HYPERLINK("https://twitter.com/crackdel2012/status/1070768324856946689","1070768324856946689")</f>
        <v>1070768324856946689</v>
      </c>
      <c r="F2209" s="11"/>
      <c r="G2209" s="11"/>
      <c r="H2209" s="11"/>
      <c r="I2209" s="13">
        <v>0</v>
      </c>
      <c r="J2209" s="13">
        <v>0</v>
      </c>
      <c r="K2209" s="14" t="str">
        <f t="shared" si="377"/>
        <v>Twitter for iPhone</v>
      </c>
      <c r="L2209" s="13">
        <v>246</v>
      </c>
      <c r="M2209" s="13">
        <v>272</v>
      </c>
      <c r="N2209" s="13">
        <v>3</v>
      </c>
      <c r="O2209" s="15"/>
      <c r="P2209" s="6">
        <v>40923.059629629628</v>
      </c>
      <c r="Q2209" s="18" t="s">
        <v>4432</v>
      </c>
      <c r="R2209" s="19" t="s">
        <v>4433</v>
      </c>
      <c r="S2209" s="11"/>
      <c r="T2209" s="11"/>
      <c r="U2209" s="10" t="str">
        <f>HYPERLINK("https://pbs.twimg.com/profile_images/1069242107502780416/kAYbGCVi.jpg","View")</f>
        <v>View</v>
      </c>
    </row>
    <row r="2210" spans="1:21" ht="51">
      <c r="A2210" s="6">
        <v>43440.870682870373</v>
      </c>
      <c r="B2210" s="7" t="str">
        <f>HYPERLINK("https://twitter.com/LaAzufre","@LaAzufre")</f>
        <v>@LaAzufre</v>
      </c>
      <c r="C2210" s="8" t="s">
        <v>3699</v>
      </c>
      <c r="D2210" s="9" t="s">
        <v>4436</v>
      </c>
      <c r="E2210" s="10" t="str">
        <f>HYPERLINK("https://twitter.com/LaAzufre/status/1070768282339168256","1070768282339168256")</f>
        <v>1070768282339168256</v>
      </c>
      <c r="F2210" s="18" t="s">
        <v>4438</v>
      </c>
      <c r="G2210" s="11"/>
      <c r="H2210" s="11"/>
      <c r="I2210" s="13">
        <v>2</v>
      </c>
      <c r="J2210" s="13">
        <v>1</v>
      </c>
      <c r="K2210" s="14" t="str">
        <f t="shared" si="377"/>
        <v>Twitter for iPhone</v>
      </c>
      <c r="L2210" s="13">
        <v>14747</v>
      </c>
      <c r="M2210" s="13">
        <v>14629</v>
      </c>
      <c r="N2210" s="13">
        <v>74</v>
      </c>
      <c r="O2210" s="15"/>
      <c r="P2210" s="6">
        <v>40375.84884259259</v>
      </c>
      <c r="Q2210" s="18" t="s">
        <v>3703</v>
      </c>
      <c r="R2210" s="19" t="s">
        <v>3704</v>
      </c>
      <c r="S2210" s="11"/>
      <c r="T2210" s="11"/>
      <c r="U2210" s="10" t="str">
        <f>HYPERLINK("https://pbs.twimg.com/profile_images/1804644181/LaAzufre.jpg","View")</f>
        <v>View</v>
      </c>
    </row>
    <row r="2211" spans="1:21" ht="40.799999999999997">
      <c r="A2211" s="6">
        <v>43440.87054398148</v>
      </c>
      <c r="B2211" s="7" t="str">
        <f>HYPERLINK("https://twitter.com/_urquijo","@_urquijo")</f>
        <v>@_urquijo</v>
      </c>
      <c r="C2211" s="8" t="s">
        <v>4441</v>
      </c>
      <c r="D2211" s="9" t="s">
        <v>4442</v>
      </c>
      <c r="E2211" s="10" t="str">
        <f>HYPERLINK("https://twitter.com/_urquijo/status/1070768234113179648","1070768234113179648")</f>
        <v>1070768234113179648</v>
      </c>
      <c r="F2211" s="11"/>
      <c r="G2211" s="11"/>
      <c r="H2211" s="11"/>
      <c r="I2211" s="13">
        <v>2</v>
      </c>
      <c r="J2211" s="13">
        <v>1</v>
      </c>
      <c r="K2211" s="14" t="str">
        <f t="shared" si="377"/>
        <v>Twitter for iPhone</v>
      </c>
      <c r="L2211" s="13">
        <v>87</v>
      </c>
      <c r="M2211" s="13">
        <v>256</v>
      </c>
      <c r="N2211" s="13">
        <v>0</v>
      </c>
      <c r="O2211" s="15"/>
      <c r="P2211" s="6">
        <v>43199.729351851856</v>
      </c>
      <c r="Q2211" s="11"/>
      <c r="R2211" s="19" t="s">
        <v>4445</v>
      </c>
      <c r="S2211" s="11"/>
      <c r="T2211" s="11"/>
      <c r="U2211" s="10" t="str">
        <f>HYPERLINK("https://pbs.twimg.com/profile_images/985905872797884416/lxpchA2a.jpg","View")</f>
        <v>View</v>
      </c>
    </row>
    <row r="2212" spans="1:21" ht="20.399999999999999">
      <c r="A2212" s="6">
        <v>43440.870439814811</v>
      </c>
      <c r="B2212" s="7" t="str">
        <f>HYPERLINK("https://twitter.com/copiajuridica","@copiajuridica")</f>
        <v>@copiajuridica</v>
      </c>
      <c r="C2212" s="8" t="s">
        <v>7042</v>
      </c>
      <c r="D2212" s="9" t="s">
        <v>7498</v>
      </c>
      <c r="E2212" s="10" t="str">
        <f>HYPERLINK("https://twitter.com/copiajuridica/status/1070768197442461697","1070768197442461697")</f>
        <v>1070768197442461697</v>
      </c>
      <c r="F2212" s="12" t="s">
        <v>7499</v>
      </c>
      <c r="G2212" s="11"/>
      <c r="H2212" s="11"/>
      <c r="I2212" s="13">
        <v>0</v>
      </c>
      <c r="J2212" s="13">
        <v>0</v>
      </c>
      <c r="K2212" s="14" t="str">
        <f>HYPERLINK("http://www.facebook.com/twitter","Facebook")</f>
        <v>Facebook</v>
      </c>
      <c r="L2212" s="13">
        <v>73</v>
      </c>
      <c r="M2212" s="13">
        <v>272</v>
      </c>
      <c r="N2212" s="13">
        <v>1</v>
      </c>
      <c r="O2212" s="15"/>
      <c r="P2212" s="6">
        <v>42088.346412037034</v>
      </c>
      <c r="Q2212" s="11"/>
      <c r="R2212" s="17"/>
      <c r="S2212" s="12" t="s">
        <v>7045</v>
      </c>
      <c r="T2212" s="11"/>
      <c r="U2212" s="10" t="str">
        <f>HYPERLINK("https://pbs.twimg.com/profile_images/712509718355423234/-G-stV8w.jpg","View")</f>
        <v>View</v>
      </c>
    </row>
    <row r="2213" spans="1:21" ht="30.6">
      <c r="A2213" s="6">
        <v>43440.870428240742</v>
      </c>
      <c r="B2213" s="7" t="str">
        <f>HYPERLINK("https://twitter.com/carlosyez","@carlosyez")</f>
        <v>@carlosyez</v>
      </c>
      <c r="C2213" s="8" t="s">
        <v>7500</v>
      </c>
      <c r="D2213" s="9" t="s">
        <v>7501</v>
      </c>
      <c r="E2213" s="10" t="str">
        <f>HYPERLINK("https://twitter.com/carlosyez/status/1070768191125815296","1070768191125815296")</f>
        <v>1070768191125815296</v>
      </c>
      <c r="F2213" s="12" t="s">
        <v>4680</v>
      </c>
      <c r="G2213" s="11"/>
      <c r="H2213" s="11"/>
      <c r="I2213" s="13">
        <v>0</v>
      </c>
      <c r="J2213" s="13">
        <v>0</v>
      </c>
      <c r="K2213" s="14" t="str">
        <f>HYPERLINK("http://twitter.com","Twitter Web Client")</f>
        <v>Twitter Web Client</v>
      </c>
      <c r="L2213" s="13">
        <v>37</v>
      </c>
      <c r="M2213" s="13">
        <v>57</v>
      </c>
      <c r="N2213" s="13">
        <v>2</v>
      </c>
      <c r="O2213" s="15"/>
      <c r="P2213" s="6">
        <v>40858.494606481479</v>
      </c>
      <c r="Q2213" s="18" t="s">
        <v>7502</v>
      </c>
      <c r="R2213" s="19" t="s">
        <v>7503</v>
      </c>
      <c r="S2213" s="11"/>
      <c r="T2213" s="11"/>
      <c r="U2213" s="10" t="str">
        <f>HYPERLINK("https://pbs.twimg.com/profile_images/2503107054/4xfd1ppee8ow6ri641iw.jpeg","View")</f>
        <v>View</v>
      </c>
    </row>
    <row r="2214" spans="1:21" ht="40.799999999999997">
      <c r="A2214" s="6">
        <v>43440.870312500003</v>
      </c>
      <c r="B2214" s="7" t="str">
        <f>HYPERLINK("https://twitter.com/valenciaoberta","@valenciaoberta")</f>
        <v>@valenciaoberta</v>
      </c>
      <c r="C2214" s="8" t="s">
        <v>5666</v>
      </c>
      <c r="D2214" s="9" t="s">
        <v>7504</v>
      </c>
      <c r="E2214" s="10" t="str">
        <f>HYPERLINK("https://twitter.com/valenciaoberta/status/1070768149275045894","1070768149275045894")</f>
        <v>1070768149275045894</v>
      </c>
      <c r="F2214" s="12" t="s">
        <v>7505</v>
      </c>
      <c r="G2214" s="11"/>
      <c r="H2214" s="11"/>
      <c r="I2214" s="13">
        <v>9</v>
      </c>
      <c r="J2214" s="13">
        <v>5</v>
      </c>
      <c r="K2214" s="14" t="str">
        <f>HYPERLINK("http://www.facebook.com/twitter","Facebook")</f>
        <v>Facebook</v>
      </c>
      <c r="L2214" s="13">
        <v>4944</v>
      </c>
      <c r="M2214" s="13">
        <v>5209</v>
      </c>
      <c r="N2214" s="13">
        <v>90</v>
      </c>
      <c r="O2214" s="15"/>
      <c r="P2214" s="6">
        <v>41708.994409722218</v>
      </c>
      <c r="Q2214" s="18" t="s">
        <v>5390</v>
      </c>
      <c r="R2214" s="19" t="s">
        <v>5669</v>
      </c>
      <c r="S2214" s="11"/>
      <c r="T2214" s="11"/>
      <c r="U2214" s="10" t="str">
        <f>HYPERLINK("https://pbs.twimg.com/profile_images/1067926839249776642/y1tJ6Ed3.jpg","View")</f>
        <v>View</v>
      </c>
    </row>
    <row r="2215" spans="1:21" ht="20.399999999999999">
      <c r="A2215" s="6">
        <v>43440.870011574079</v>
      </c>
      <c r="B2215" s="7" t="str">
        <f>HYPERLINK("https://twitter.com/Shepartronik","@Shepartronik")</f>
        <v>@Shepartronik</v>
      </c>
      <c r="C2215" s="8" t="s">
        <v>7506</v>
      </c>
      <c r="D2215" s="9" t="s">
        <v>7507</v>
      </c>
      <c r="E2215" s="10" t="str">
        <f>HYPERLINK("https://twitter.com/Shepartronik/status/1070768041389105152","1070768041389105152")</f>
        <v>1070768041389105152</v>
      </c>
      <c r="F2215" s="11"/>
      <c r="G2215" s="11"/>
      <c r="H2215" s="11"/>
      <c r="I2215" s="13">
        <v>0</v>
      </c>
      <c r="J2215" s="13">
        <v>0</v>
      </c>
      <c r="K2215" s="14" t="str">
        <f>HYPERLINK("http://twitter.com/#!/download/ipad","Twitter for iPad")</f>
        <v>Twitter for iPad</v>
      </c>
      <c r="L2215" s="13">
        <v>9</v>
      </c>
      <c r="M2215" s="13">
        <v>34</v>
      </c>
      <c r="N2215" s="13">
        <v>0</v>
      </c>
      <c r="O2215" s="15"/>
      <c r="P2215" s="6">
        <v>43422.379965277782</v>
      </c>
      <c r="Q2215" s="18" t="s">
        <v>7508</v>
      </c>
      <c r="R2215" s="19" t="s">
        <v>7509</v>
      </c>
      <c r="S2215" s="11"/>
      <c r="T2215" s="11"/>
      <c r="U2215" s="10" t="str">
        <f>HYPERLINK("https://pbs.twimg.com/profile_images/1064079451372363777/vi09Zw0X.jpg","View")</f>
        <v>View</v>
      </c>
    </row>
    <row r="2216" spans="1:21" ht="61.2">
      <c r="A2216" s="6">
        <v>43440.869675925926</v>
      </c>
      <c r="B2216" s="7" t="str">
        <f>HYPERLINK("https://twitter.com/RLjorge14","@RLjorge14")</f>
        <v>@RLjorge14</v>
      </c>
      <c r="C2216" s="8" t="s">
        <v>4448</v>
      </c>
      <c r="D2216" s="9" t="s">
        <v>4449</v>
      </c>
      <c r="E2216" s="10" t="str">
        <f>HYPERLINK("https://twitter.com/RLjorge14/status/1070767921067122688","1070767921067122688")</f>
        <v>1070767921067122688</v>
      </c>
      <c r="F2216" s="12" t="s">
        <v>4450</v>
      </c>
      <c r="G2216" s="12" t="s">
        <v>277</v>
      </c>
      <c r="H2216" s="11"/>
      <c r="I2216" s="13">
        <v>1</v>
      </c>
      <c r="J2216" s="13">
        <v>1</v>
      </c>
      <c r="K2216" s="14" t="str">
        <f>HYPERLINK("http://twitter.com/download/iphone","Twitter for iPhone")</f>
        <v>Twitter for iPhone</v>
      </c>
      <c r="L2216" s="13">
        <v>745</v>
      </c>
      <c r="M2216" s="13">
        <v>1052</v>
      </c>
      <c r="N2216" s="13">
        <v>11</v>
      </c>
      <c r="O2216" s="15"/>
      <c r="P2216" s="6">
        <v>40369.428437499999</v>
      </c>
      <c r="Q2216" s="18" t="s">
        <v>4452</v>
      </c>
      <c r="R2216" s="19" t="s">
        <v>4453</v>
      </c>
      <c r="S2216" s="11"/>
      <c r="T2216" s="11"/>
      <c r="U2216" s="10" t="str">
        <f>HYPERLINK("https://pbs.twimg.com/profile_images/1006666456191393794/mq516GyA.jpg","View")</f>
        <v>View</v>
      </c>
    </row>
    <row r="2217" spans="1:21" ht="40.799999999999997">
      <c r="A2217" s="6">
        <v>43440.86954861111</v>
      </c>
      <c r="B2217" s="7" t="str">
        <f>HYPERLINK("https://twitter.com/Escaparatista57","@Escaparatista57")</f>
        <v>@Escaparatista57</v>
      </c>
      <c r="C2217" s="8" t="s">
        <v>4455</v>
      </c>
      <c r="D2217" s="9" t="s">
        <v>4456</v>
      </c>
      <c r="E2217" s="10" t="str">
        <f>HYPERLINK("https://twitter.com/Escaparatista57/status/1070767872945909760","1070767872945909760")</f>
        <v>1070767872945909760</v>
      </c>
      <c r="F2217" s="18" t="s">
        <v>4128</v>
      </c>
      <c r="G2217" s="11"/>
      <c r="H2217" s="11"/>
      <c r="I2217" s="13">
        <v>0</v>
      </c>
      <c r="J2217" s="13">
        <v>0</v>
      </c>
      <c r="K2217" s="14" t="str">
        <f t="shared" ref="K2217:K2218" si="378">HYPERLINK("http://twitter.com/download/android","Twitter for Android")</f>
        <v>Twitter for Android</v>
      </c>
      <c r="L2217" s="13">
        <v>1904</v>
      </c>
      <c r="M2217" s="13">
        <v>1624</v>
      </c>
      <c r="N2217" s="13">
        <v>60</v>
      </c>
      <c r="O2217" s="15"/>
      <c r="P2217" s="6">
        <v>40899.874513888892</v>
      </c>
      <c r="Q2217" s="18" t="s">
        <v>4461</v>
      </c>
      <c r="R2217" s="19" t="s">
        <v>4462</v>
      </c>
      <c r="S2217" s="12" t="s">
        <v>4463</v>
      </c>
      <c r="T2217" s="11"/>
      <c r="U2217" s="10" t="str">
        <f>HYPERLINK("https://pbs.twimg.com/profile_images/1043051469245763585/tSfq7tX6.jpg","View")</f>
        <v>View</v>
      </c>
    </row>
    <row r="2218" spans="1:21" ht="81.599999999999994">
      <c r="A2218" s="6">
        <v>43440.868078703701</v>
      </c>
      <c r="B2218" s="7" t="str">
        <f>HYPERLINK("https://twitter.com/Heidimetal74","@Heidimetal74")</f>
        <v>@Heidimetal74</v>
      </c>
      <c r="C2218" s="8" t="s">
        <v>3309</v>
      </c>
      <c r="D2218" s="9" t="s">
        <v>4465</v>
      </c>
      <c r="E2218" s="10" t="str">
        <f>HYPERLINK("https://twitter.com/Heidimetal74/status/1070767341573677056","1070767341573677056")</f>
        <v>1070767341573677056</v>
      </c>
      <c r="F2218" s="12" t="s">
        <v>4466</v>
      </c>
      <c r="G2218" s="12" t="s">
        <v>4467</v>
      </c>
      <c r="H2218" s="11"/>
      <c r="I2218" s="13">
        <v>0</v>
      </c>
      <c r="J2218" s="13">
        <v>0</v>
      </c>
      <c r="K2218" s="14" t="str">
        <f t="shared" si="378"/>
        <v>Twitter for Android</v>
      </c>
      <c r="L2218" s="13">
        <v>1123</v>
      </c>
      <c r="M2218" s="13">
        <v>772</v>
      </c>
      <c r="N2218" s="13">
        <v>5</v>
      </c>
      <c r="O2218" s="15"/>
      <c r="P2218" s="6">
        <v>42769.67759259259</v>
      </c>
      <c r="Q2218" s="11"/>
      <c r="R2218" s="17"/>
      <c r="S2218" s="11"/>
      <c r="T2218" s="11"/>
      <c r="U2218" s="10" t="str">
        <f>HYPERLINK("https://pbs.twimg.com/profile_images/1038920362023690240/pIcoMm_n.jpg","View")</f>
        <v>View</v>
      </c>
    </row>
    <row r="2219" spans="1:21" ht="71.400000000000006">
      <c r="A2219" s="6">
        <v>43440.86717592593</v>
      </c>
      <c r="B2219" s="7" t="str">
        <f>HYPERLINK("https://twitter.com/chuslefg","@chuslefg")</f>
        <v>@chuslefg</v>
      </c>
      <c r="C2219" s="8" t="s">
        <v>7510</v>
      </c>
      <c r="D2219" s="9" t="s">
        <v>7511</v>
      </c>
      <c r="E2219" s="10" t="str">
        <f>HYPERLINK("https://twitter.com/chuslefg/status/1070767013038034944","1070767013038034944")</f>
        <v>1070767013038034944</v>
      </c>
      <c r="F2219" s="12" t="s">
        <v>7512</v>
      </c>
      <c r="G2219" s="11"/>
      <c r="H2219" s="11"/>
      <c r="I2219" s="13">
        <v>0</v>
      </c>
      <c r="J2219" s="13">
        <v>0</v>
      </c>
      <c r="K2219" s="14" t="str">
        <f>HYPERLINK("http://twitter.com/download/iphone","Twitter for iPhone")</f>
        <v>Twitter for iPhone</v>
      </c>
      <c r="L2219" s="13">
        <v>124</v>
      </c>
      <c r="M2219" s="13">
        <v>1111</v>
      </c>
      <c r="N2219" s="13">
        <v>6</v>
      </c>
      <c r="O2219" s="15"/>
      <c r="P2219" s="6">
        <v>40149.961909722224</v>
      </c>
      <c r="Q2219" s="18" t="s">
        <v>7513</v>
      </c>
      <c r="R2219" s="19" t="s">
        <v>7514</v>
      </c>
      <c r="S2219" s="11"/>
      <c r="T2219" s="11"/>
      <c r="U2219" s="10" t="str">
        <f>HYPERLINK("https://pbs.twimg.com/profile_images/1064124907842359297/6UrTeJ0o.jpg","View")</f>
        <v>View</v>
      </c>
    </row>
    <row r="2220" spans="1:21" ht="112.2">
      <c r="A2220" s="6">
        <v>43440.867060185185</v>
      </c>
      <c r="B2220" s="7" t="str">
        <f>HYPERLINK("https://twitter.com/elvira_sanz","@elvira_sanz")</f>
        <v>@elvira_sanz</v>
      </c>
      <c r="C2220" s="8" t="s">
        <v>4469</v>
      </c>
      <c r="D2220" s="9" t="s">
        <v>4470</v>
      </c>
      <c r="E2220" s="10" t="str">
        <f>HYPERLINK("https://twitter.com/elvira_sanz/status/1070766970155470848","1070766970155470848")</f>
        <v>1070766970155470848</v>
      </c>
      <c r="F2220" s="12" t="s">
        <v>4471</v>
      </c>
      <c r="G2220" s="12" t="s">
        <v>4472</v>
      </c>
      <c r="H2220" s="11"/>
      <c r="I2220" s="13">
        <v>2</v>
      </c>
      <c r="J2220" s="13">
        <v>1</v>
      </c>
      <c r="K2220" s="14" t="str">
        <f t="shared" ref="K2220:K2226" si="379">HYPERLINK("http://twitter.com/download/android","Twitter for Android")</f>
        <v>Twitter for Android</v>
      </c>
      <c r="L2220" s="13">
        <v>261</v>
      </c>
      <c r="M2220" s="13">
        <v>182</v>
      </c>
      <c r="N2220" s="13">
        <v>4</v>
      </c>
      <c r="O2220" s="15"/>
      <c r="P2220" s="6">
        <v>40911.994895833333</v>
      </c>
      <c r="Q2220" s="18" t="s">
        <v>2020</v>
      </c>
      <c r="R2220" s="19" t="s">
        <v>4473</v>
      </c>
      <c r="S2220" s="12" t="s">
        <v>4474</v>
      </c>
      <c r="T2220" s="11"/>
      <c r="U2220" s="10" t="str">
        <f>HYPERLINK("https://pbs.twimg.com/profile_images/995726471112077312/UQi1dAXO.jpg","View")</f>
        <v>View</v>
      </c>
    </row>
    <row r="2221" spans="1:21" ht="51">
      <c r="A2221" s="6">
        <v>43440.867060185185</v>
      </c>
      <c r="B2221" s="7" t="str">
        <f>HYPERLINK("https://twitter.com/JoseLui43872588","@JoseLui43872588")</f>
        <v>@JoseLui43872588</v>
      </c>
      <c r="C2221" s="8" t="s">
        <v>6731</v>
      </c>
      <c r="D2221" s="9" t="s">
        <v>7515</v>
      </c>
      <c r="E2221" s="10" t="str">
        <f>HYPERLINK("https://twitter.com/JoseLui43872588/status/1070766969996107777","1070766969996107777")</f>
        <v>1070766969996107777</v>
      </c>
      <c r="F2221" s="11"/>
      <c r="G2221" s="11"/>
      <c r="H2221" s="11"/>
      <c r="I2221" s="13">
        <v>2</v>
      </c>
      <c r="J2221" s="13">
        <v>0</v>
      </c>
      <c r="K2221" s="14" t="str">
        <f t="shared" si="379"/>
        <v>Twitter for Android</v>
      </c>
      <c r="L2221" s="13">
        <v>518</v>
      </c>
      <c r="M2221" s="13">
        <v>129</v>
      </c>
      <c r="N2221" s="13">
        <v>7</v>
      </c>
      <c r="O2221" s="15"/>
      <c r="P2221" s="6">
        <v>42705.999224537038</v>
      </c>
      <c r="Q2221" s="18" t="s">
        <v>467</v>
      </c>
      <c r="R2221" s="19" t="s">
        <v>7516</v>
      </c>
      <c r="S2221" s="11"/>
      <c r="T2221" s="11"/>
      <c r="U2221" s="10" t="str">
        <f>HYPERLINK("https://pbs.twimg.com/profile_images/1009872713064820737/I4zrX8RR.jpg","View")</f>
        <v>View</v>
      </c>
    </row>
    <row r="2222" spans="1:21" ht="61.2">
      <c r="A2222" s="6">
        <v>43440.86655092593</v>
      </c>
      <c r="B2222" s="7" t="str">
        <f>HYPERLINK("https://twitter.com/_23Sergio","@_23Sergio")</f>
        <v>@_23Sergio</v>
      </c>
      <c r="C2222" s="8" t="s">
        <v>4922</v>
      </c>
      <c r="D2222" s="9" t="s">
        <v>7517</v>
      </c>
      <c r="E2222" s="10" t="str">
        <f>HYPERLINK("https://twitter.com/_23Sergio/status/1070766786101022720","1070766786101022720")</f>
        <v>1070766786101022720</v>
      </c>
      <c r="F2222" s="12" t="s">
        <v>4859</v>
      </c>
      <c r="G2222" s="12" t="s">
        <v>4860</v>
      </c>
      <c r="H2222" s="11"/>
      <c r="I2222" s="13">
        <v>5</v>
      </c>
      <c r="J2222" s="13">
        <v>8</v>
      </c>
      <c r="K2222" s="14" t="str">
        <f t="shared" si="379"/>
        <v>Twitter for Android</v>
      </c>
      <c r="L2222" s="13">
        <v>1344</v>
      </c>
      <c r="M2222" s="13">
        <v>1825</v>
      </c>
      <c r="N2222" s="13">
        <v>12</v>
      </c>
      <c r="O2222" s="15"/>
      <c r="P2222" s="6">
        <v>40503.781458333331</v>
      </c>
      <c r="Q2222" s="18" t="s">
        <v>1958</v>
      </c>
      <c r="R2222" s="19" t="s">
        <v>4924</v>
      </c>
      <c r="S2222" s="11"/>
      <c r="T2222" s="11"/>
      <c r="U2222" s="10" t="str">
        <f>HYPERLINK("https://pbs.twimg.com/profile_images/959348744822157312/wUGKBFb3.jpg","View")</f>
        <v>View</v>
      </c>
    </row>
    <row r="2223" spans="1:21" ht="20.399999999999999">
      <c r="A2223" s="6">
        <v>43440.866319444445</v>
      </c>
      <c r="B2223" s="7" t="str">
        <f>HYPERLINK("https://twitter.com/Gran_mandarina","@Gran_mandarina")</f>
        <v>@Gran_mandarina</v>
      </c>
      <c r="C2223" s="8" t="s">
        <v>7518</v>
      </c>
      <c r="D2223" s="9" t="s">
        <v>7519</v>
      </c>
      <c r="E2223" s="10" t="str">
        <f>HYPERLINK("https://twitter.com/Gran_mandarina/status/1070766701439004672","1070766701439004672")</f>
        <v>1070766701439004672</v>
      </c>
      <c r="F2223" s="11"/>
      <c r="G2223" s="11"/>
      <c r="H2223" s="11"/>
      <c r="I2223" s="13">
        <v>0</v>
      </c>
      <c r="J2223" s="13">
        <v>0</v>
      </c>
      <c r="K2223" s="14" t="str">
        <f t="shared" si="379"/>
        <v>Twitter for Android</v>
      </c>
      <c r="L2223" s="13">
        <v>174</v>
      </c>
      <c r="M2223" s="13">
        <v>84</v>
      </c>
      <c r="N2223" s="13">
        <v>5</v>
      </c>
      <c r="O2223" s="15"/>
      <c r="P2223" s="6">
        <v>41034.998298611114</v>
      </c>
      <c r="Q2223" s="18" t="s">
        <v>7520</v>
      </c>
      <c r="R2223" s="19" t="s">
        <v>7521</v>
      </c>
      <c r="S2223" s="11"/>
      <c r="T2223" s="11"/>
      <c r="U2223" s="10" t="str">
        <f>HYPERLINK("https://pbs.twimg.com/profile_images/1055785390861357057/GPcj-dmK.jpg","View")</f>
        <v>View</v>
      </c>
    </row>
    <row r="2224" spans="1:21" ht="61.2">
      <c r="A2224" s="6">
        <v>43440.865428240737</v>
      </c>
      <c r="B2224" s="7" t="str">
        <f>HYPERLINK("https://twitter.com/qqqqetru","@qqqqetru")</f>
        <v>@qqqqetru</v>
      </c>
      <c r="C2224" s="8" t="s">
        <v>127</v>
      </c>
      <c r="D2224" s="9" t="s">
        <v>7522</v>
      </c>
      <c r="E2224" s="10" t="str">
        <f>HYPERLINK("https://twitter.com/qqqqetru/status/1070766378439897088","1070766378439897088")</f>
        <v>1070766378439897088</v>
      </c>
      <c r="F2224" s="12" t="s">
        <v>7523</v>
      </c>
      <c r="G2224" s="12" t="s">
        <v>7524</v>
      </c>
      <c r="H2224" s="11"/>
      <c r="I2224" s="13">
        <v>5</v>
      </c>
      <c r="J2224" s="13">
        <v>2</v>
      </c>
      <c r="K2224" s="14" t="str">
        <f t="shared" si="379"/>
        <v>Twitter for Android</v>
      </c>
      <c r="L2224" s="13">
        <v>649</v>
      </c>
      <c r="M2224" s="13">
        <v>1194</v>
      </c>
      <c r="N2224" s="13">
        <v>2</v>
      </c>
      <c r="O2224" s="15"/>
      <c r="P2224" s="6">
        <v>40749.437719907408</v>
      </c>
      <c r="Q2224" s="11"/>
      <c r="R2224" s="17"/>
      <c r="S2224" s="11"/>
      <c r="T2224" s="11"/>
      <c r="U2224" s="10" t="str">
        <f>HYPERLINK("https://pbs.twimg.com/profile_images/1069734331780870144/d_KYpBFy.jpg","View")</f>
        <v>View</v>
      </c>
    </row>
    <row r="2225" spans="1:21" ht="51">
      <c r="A2225" s="6">
        <v>43440.864768518513</v>
      </c>
      <c r="B2225" s="7" t="str">
        <f>HYPERLINK("https://twitter.com/zperseoz","@zperseoz")</f>
        <v>@zperseoz</v>
      </c>
      <c r="C2225" s="8" t="s">
        <v>7525</v>
      </c>
      <c r="D2225" s="9" t="s">
        <v>7526</v>
      </c>
      <c r="E2225" s="10" t="str">
        <f>HYPERLINK("https://twitter.com/zperseoz/status/1070766141226795008","1070766141226795008")</f>
        <v>1070766141226795008</v>
      </c>
      <c r="F2225" s="11"/>
      <c r="G2225" s="11"/>
      <c r="H2225" s="11"/>
      <c r="I2225" s="13">
        <v>0</v>
      </c>
      <c r="J2225" s="13">
        <v>1</v>
      </c>
      <c r="K2225" s="14" t="str">
        <f t="shared" si="379"/>
        <v>Twitter for Android</v>
      </c>
      <c r="L2225" s="13">
        <v>2</v>
      </c>
      <c r="M2225" s="13">
        <v>13</v>
      </c>
      <c r="N2225" s="13">
        <v>0</v>
      </c>
      <c r="O2225" s="15"/>
      <c r="P2225" s="6">
        <v>41767.877800925926</v>
      </c>
      <c r="Q2225" s="11"/>
      <c r="R2225" s="17"/>
      <c r="S2225" s="11"/>
      <c r="T2225" s="11"/>
      <c r="U2225" s="10" t="str">
        <f>HYPERLINK("https://pbs.twimg.com/profile_images/995645570873249793/B91HGhDm.jpg","View")</f>
        <v>View</v>
      </c>
    </row>
    <row r="2226" spans="1:21" ht="40.799999999999997">
      <c r="A2226" s="6">
        <v>43440.86418981482</v>
      </c>
      <c r="B2226" s="7" t="str">
        <f>HYPERLINK("https://twitter.com/anavmor","@anavmor")</f>
        <v>@anavmor</v>
      </c>
      <c r="C2226" s="8" t="s">
        <v>7527</v>
      </c>
      <c r="D2226" s="9" t="s">
        <v>7528</v>
      </c>
      <c r="E2226" s="10" t="str">
        <f>HYPERLINK("https://twitter.com/anavmor/status/1070765929976479748","1070765929976479748")</f>
        <v>1070765929976479748</v>
      </c>
      <c r="F2226" s="11"/>
      <c r="G2226" s="12" t="s">
        <v>7529</v>
      </c>
      <c r="H2226" s="11"/>
      <c r="I2226" s="13">
        <v>0</v>
      </c>
      <c r="J2226" s="13">
        <v>5</v>
      </c>
      <c r="K2226" s="14" t="str">
        <f t="shared" si="379"/>
        <v>Twitter for Android</v>
      </c>
      <c r="L2226" s="13">
        <v>3442</v>
      </c>
      <c r="M2226" s="13">
        <v>1111</v>
      </c>
      <c r="N2226" s="13">
        <v>89</v>
      </c>
      <c r="O2226" s="15"/>
      <c r="P2226" s="6">
        <v>39824.838738425926</v>
      </c>
      <c r="Q2226" s="18" t="s">
        <v>7530</v>
      </c>
      <c r="R2226" s="19" t="s">
        <v>7531</v>
      </c>
      <c r="S2226" s="11"/>
      <c r="T2226" s="11"/>
      <c r="U2226" s="10" t="str">
        <f>HYPERLINK("https://pbs.twimg.com/profile_images/956921591316828160/--jLAp2C.jpg","View")</f>
        <v>View</v>
      </c>
    </row>
    <row r="2227" spans="1:21" ht="51">
      <c r="A2227" s="6">
        <v>43440.863935185189</v>
      </c>
      <c r="B2227" s="7" t="str">
        <f>HYPERLINK("https://twitter.com/TheDaniSG","@TheDaniSG")</f>
        <v>@TheDaniSG</v>
      </c>
      <c r="C2227" s="8" t="s">
        <v>4477</v>
      </c>
      <c r="D2227" s="9" t="s">
        <v>4478</v>
      </c>
      <c r="E2227" s="10" t="str">
        <f>HYPERLINK("https://twitter.com/TheDaniSG/status/1070765839245369344","1070765839245369344")</f>
        <v>1070765839245369344</v>
      </c>
      <c r="F2227" s="11"/>
      <c r="G2227" s="11"/>
      <c r="H2227" s="11"/>
      <c r="I2227" s="13">
        <v>1</v>
      </c>
      <c r="J2227" s="13">
        <v>1</v>
      </c>
      <c r="K2227" s="14" t="str">
        <f>HYPERLINK("https://mobile.twitter.com","Twitter Lite")</f>
        <v>Twitter Lite</v>
      </c>
      <c r="L2227" s="13">
        <v>160</v>
      </c>
      <c r="M2227" s="13">
        <v>210</v>
      </c>
      <c r="N2227" s="13">
        <v>1</v>
      </c>
      <c r="O2227" s="15"/>
      <c r="P2227" s="6">
        <v>42391.909629629634</v>
      </c>
      <c r="Q2227" s="18" t="s">
        <v>592</v>
      </c>
      <c r="R2227" s="19" t="s">
        <v>4481</v>
      </c>
      <c r="S2227" s="11"/>
      <c r="T2227" s="11"/>
      <c r="U2227" s="10" t="str">
        <f>HYPERLINK("https://pbs.twimg.com/profile_images/1063500811605630981/fXVZo5gj.jpg","View")</f>
        <v>View</v>
      </c>
    </row>
    <row r="2228" spans="1:21" ht="51">
      <c r="A2228" s="6">
        <v>43440.863854166666</v>
      </c>
      <c r="B2228" s="7" t="str">
        <f>HYPERLINK("https://twitter.com/RGALorca","@RGALorca")</f>
        <v>@RGALorca</v>
      </c>
      <c r="C2228" s="8" t="s">
        <v>4068</v>
      </c>
      <c r="D2228" s="9" t="s">
        <v>7532</v>
      </c>
      <c r="E2228" s="10" t="str">
        <f>HYPERLINK("https://twitter.com/RGALorca/status/1070765807439884289","1070765807439884289")</f>
        <v>1070765807439884289</v>
      </c>
      <c r="F2228" s="11"/>
      <c r="G2228" s="12" t="s">
        <v>7533</v>
      </c>
      <c r="H2228" s="11"/>
      <c r="I2228" s="13">
        <v>0</v>
      </c>
      <c r="J2228" s="13">
        <v>1</v>
      </c>
      <c r="K2228" s="14" t="str">
        <f>HYPERLINK("http://twitter.com/download/android","Twitter for Android")</f>
        <v>Twitter for Android</v>
      </c>
      <c r="L2228" s="13">
        <v>613</v>
      </c>
      <c r="M2228" s="13">
        <v>719</v>
      </c>
      <c r="N2228" s="13">
        <v>21</v>
      </c>
      <c r="O2228" s="15"/>
      <c r="P2228" s="6">
        <v>41341.795300925922</v>
      </c>
      <c r="Q2228" s="18" t="s">
        <v>1682</v>
      </c>
      <c r="R2228" s="19" t="s">
        <v>4075</v>
      </c>
      <c r="S2228" s="11"/>
      <c r="T2228" s="11"/>
      <c r="U2228" s="10" t="str">
        <f>HYPERLINK("https://pbs.twimg.com/profile_images/1051590650225979392/Sxsy7_T6.jpg","View")</f>
        <v>View</v>
      </c>
    </row>
    <row r="2229" spans="1:21" ht="61.2">
      <c r="A2229" s="6">
        <v>43440.863715277781</v>
      </c>
      <c r="B2229" s="7" t="str">
        <f>HYPERLINK("https://twitter.com/ValleAvendano","@ValleAvendano")</f>
        <v>@ValleAvendano</v>
      </c>
      <c r="C2229" s="8" t="s">
        <v>4482</v>
      </c>
      <c r="D2229" s="9" t="s">
        <v>4483</v>
      </c>
      <c r="E2229" s="10" t="str">
        <f>HYPERLINK("https://twitter.com/ValleAvendano/status/1070765757557063681","1070765757557063681")</f>
        <v>1070765757557063681</v>
      </c>
      <c r="F2229" s="18" t="s">
        <v>4085</v>
      </c>
      <c r="G2229" s="11"/>
      <c r="H2229" s="11"/>
      <c r="I2229" s="13">
        <v>0</v>
      </c>
      <c r="J2229" s="13">
        <v>0</v>
      </c>
      <c r="K2229" s="14" t="str">
        <f>HYPERLINK("http://twitter.com","Twitter Web Client")</f>
        <v>Twitter Web Client</v>
      </c>
      <c r="L2229" s="13">
        <v>90</v>
      </c>
      <c r="M2229" s="13">
        <v>291</v>
      </c>
      <c r="N2229" s="13">
        <v>1</v>
      </c>
      <c r="O2229" s="15"/>
      <c r="P2229" s="6">
        <v>43203.810682870375</v>
      </c>
      <c r="Q2229" s="18" t="s">
        <v>4484</v>
      </c>
      <c r="R2229" s="19" t="s">
        <v>4485</v>
      </c>
      <c r="S2229" s="11"/>
      <c r="T2229" s="11"/>
      <c r="U2229" s="10" t="str">
        <f>HYPERLINK("https://pbs.twimg.com/profile_images/1014928941864378368/migY-Ax8.jpg","View")</f>
        <v>View</v>
      </c>
    </row>
    <row r="2230" spans="1:21" ht="30.6">
      <c r="A2230" s="6">
        <v>43440.86346064815</v>
      </c>
      <c r="B2230" s="7" t="str">
        <f>HYPERLINK("https://twitter.com/frasesyfosas","@frasesyfosas")</f>
        <v>@frasesyfosas</v>
      </c>
      <c r="C2230" s="8" t="s">
        <v>4488</v>
      </c>
      <c r="D2230" s="9" t="s">
        <v>4489</v>
      </c>
      <c r="E2230" s="10" t="str">
        <f>HYPERLINK("https://twitter.com/frasesyfosas/status/1070765667664740352","1070765667664740352")</f>
        <v>1070765667664740352</v>
      </c>
      <c r="F2230" s="11"/>
      <c r="G2230" s="12" t="s">
        <v>4490</v>
      </c>
      <c r="H2230" s="11"/>
      <c r="I2230" s="13">
        <v>0</v>
      </c>
      <c r="J2230" s="13">
        <v>0</v>
      </c>
      <c r="K2230" s="14" t="str">
        <f>HYPERLINK("http://twitter.com/download/android","Twitter for Android")</f>
        <v>Twitter for Android</v>
      </c>
      <c r="L2230" s="13">
        <v>0</v>
      </c>
      <c r="M2230" s="13">
        <v>16</v>
      </c>
      <c r="N2230" s="13">
        <v>0</v>
      </c>
      <c r="O2230" s="15"/>
      <c r="P2230" s="6">
        <v>43354.982685185183</v>
      </c>
      <c r="Q2230" s="11"/>
      <c r="R2230" s="17"/>
      <c r="S2230" s="11"/>
      <c r="T2230" s="11"/>
      <c r="U2230" s="10" t="str">
        <f>HYPERLINK("https://pbs.twimg.com/profile_images/1039999471252385792/XqDbgxrD.jpg","View")</f>
        <v>View</v>
      </c>
    </row>
    <row r="2231" spans="1:21" ht="13.2">
      <c r="A2231" s="6">
        <v>43440.86341435185</v>
      </c>
      <c r="B2231" s="7" t="str">
        <f>HYPERLINK("https://twitter.com/pechospoliticos","@pechospoliticos")</f>
        <v>@pechospoliticos</v>
      </c>
      <c r="C2231" s="8" t="s">
        <v>4494</v>
      </c>
      <c r="D2231" s="9" t="s">
        <v>4495</v>
      </c>
      <c r="E2231" s="10" t="str">
        <f>HYPERLINK("https://twitter.com/pechospoliticos/status/1070765648375177216","1070765648375177216")</f>
        <v>1070765648375177216</v>
      </c>
      <c r="F2231" s="11"/>
      <c r="G2231" s="12" t="s">
        <v>4496</v>
      </c>
      <c r="H2231" s="11"/>
      <c r="I2231" s="13">
        <v>1</v>
      </c>
      <c r="J2231" s="13">
        <v>1</v>
      </c>
      <c r="K2231" s="14" t="str">
        <f>HYPERLINK("http://twitter.com/download/iphone","Twitter for iPhone")</f>
        <v>Twitter for iPhone</v>
      </c>
      <c r="L2231" s="13">
        <v>1975</v>
      </c>
      <c r="M2231" s="13">
        <v>2324</v>
      </c>
      <c r="N2231" s="13">
        <v>1</v>
      </c>
      <c r="O2231" s="15"/>
      <c r="P2231" s="6">
        <v>43275.967476851853</v>
      </c>
      <c r="Q2231" s="18" t="s">
        <v>4498</v>
      </c>
      <c r="R2231" s="19" t="s">
        <v>4499</v>
      </c>
      <c r="S2231" s="11"/>
      <c r="T2231" s="11"/>
      <c r="U2231" s="10" t="str">
        <f>HYPERLINK("https://pbs.twimg.com/profile_images/1046321536523800576/emoT7tKm.jpg","View")</f>
        <v>View</v>
      </c>
    </row>
    <row r="2232" spans="1:21" ht="71.400000000000006">
      <c r="A2232" s="6">
        <v>43440.862291666665</v>
      </c>
      <c r="B2232" s="7" t="str">
        <f>HYPERLINK("https://twitter.com/Raki22560979","@Raki22560979")</f>
        <v>@Raki22560979</v>
      </c>
      <c r="C2232" s="8" t="s">
        <v>7534</v>
      </c>
      <c r="D2232" s="9" t="s">
        <v>7535</v>
      </c>
      <c r="E2232" s="10" t="str">
        <f>HYPERLINK("https://twitter.com/Raki22560979/status/1070765243465388032","1070765243465388032")</f>
        <v>1070765243465388032</v>
      </c>
      <c r="F2232" s="12" t="s">
        <v>3074</v>
      </c>
      <c r="G2232" s="12" t="s">
        <v>3075</v>
      </c>
      <c r="H2232" s="11"/>
      <c r="I2232" s="13">
        <v>0</v>
      </c>
      <c r="J2232" s="13">
        <v>1</v>
      </c>
      <c r="K2232" s="14" t="str">
        <f>HYPERLINK("http://twitter.com/download/android","Twitter for Android")</f>
        <v>Twitter for Android</v>
      </c>
      <c r="L2232" s="13">
        <v>46</v>
      </c>
      <c r="M2232" s="13">
        <v>160</v>
      </c>
      <c r="N2232" s="13">
        <v>0</v>
      </c>
      <c r="O2232" s="15"/>
      <c r="P2232" s="6">
        <v>43363.96166666667</v>
      </c>
      <c r="Q2232" s="11"/>
      <c r="R2232" s="19" t="s">
        <v>7536</v>
      </c>
      <c r="S2232" s="11"/>
      <c r="T2232" s="11"/>
      <c r="U2232" s="10" t="str">
        <f>HYPERLINK("https://pbs.twimg.com/profile_images/1048336168671219713/1fk75ZXF.jpg","View")</f>
        <v>View</v>
      </c>
    </row>
    <row r="2233" spans="1:21" ht="71.400000000000006">
      <c r="A2233" s="6">
        <v>43440.861643518518</v>
      </c>
      <c r="B2233" s="7" t="str">
        <f>HYPERLINK("https://twitter.com/Advill54","@Advill54")</f>
        <v>@Advill54</v>
      </c>
      <c r="C2233" s="8" t="s">
        <v>4502</v>
      </c>
      <c r="D2233" s="9" t="s">
        <v>4503</v>
      </c>
      <c r="E2233" s="10" t="str">
        <f>HYPERLINK("https://twitter.com/Advill54/status/1070765008148226048","1070765008148226048")</f>
        <v>1070765008148226048</v>
      </c>
      <c r="F2233" s="12" t="s">
        <v>4504</v>
      </c>
      <c r="G2233" s="12" t="s">
        <v>4505</v>
      </c>
      <c r="H2233" s="11"/>
      <c r="I2233" s="13">
        <v>0</v>
      </c>
      <c r="J2233" s="13">
        <v>0</v>
      </c>
      <c r="K2233" s="14" t="str">
        <f>HYPERLINK("http://twitter.com/#!/download/ipad","Twitter for iPad")</f>
        <v>Twitter for iPad</v>
      </c>
      <c r="L2233" s="13">
        <v>152</v>
      </c>
      <c r="M2233" s="13">
        <v>139</v>
      </c>
      <c r="N2233" s="13">
        <v>8</v>
      </c>
      <c r="O2233" s="15"/>
      <c r="P2233" s="6">
        <v>40320.849675925929</v>
      </c>
      <c r="Q2233" s="18" t="s">
        <v>256</v>
      </c>
      <c r="R2233" s="19" t="s">
        <v>4507</v>
      </c>
      <c r="S2233" s="11"/>
      <c r="T2233" s="11"/>
      <c r="U2233" s="10" t="str">
        <f>HYPERLINK("https://pbs.twimg.com/profile_images/378800000788735663/e0219fd4da0cf8e2625bb5c723d951c3.jpeg","View")</f>
        <v>View</v>
      </c>
    </row>
    <row r="2234" spans="1:21" ht="40.799999999999997">
      <c r="A2234" s="6">
        <v>43440.861064814817</v>
      </c>
      <c r="B2234" s="7" t="str">
        <f>HYPERLINK("https://twitter.com/KyrieLomthe","@KyrieLomthe")</f>
        <v>@KyrieLomthe</v>
      </c>
      <c r="C2234" s="8" t="s">
        <v>7537</v>
      </c>
      <c r="D2234" s="9" t="s">
        <v>3651</v>
      </c>
      <c r="E2234" s="10" t="str">
        <f>HYPERLINK("https://twitter.com/KyrieLomthe/status/1070764799099891712","1070764799099891712")</f>
        <v>1070764799099891712</v>
      </c>
      <c r="F2234" s="12" t="s">
        <v>2161</v>
      </c>
      <c r="G2234" s="11"/>
      <c r="H2234" s="11"/>
      <c r="I2234" s="13">
        <v>0</v>
      </c>
      <c r="J2234" s="13">
        <v>0</v>
      </c>
      <c r="K2234" s="14" t="str">
        <f>HYPERLINK("http://twitter.com/download/iphone","Twitter for iPhone")</f>
        <v>Twitter for iPhone</v>
      </c>
      <c r="L2234" s="13">
        <v>116</v>
      </c>
      <c r="M2234" s="13">
        <v>67</v>
      </c>
      <c r="N2234" s="13">
        <v>4</v>
      </c>
      <c r="O2234" s="15"/>
      <c r="P2234" s="6">
        <v>40895.009849537033</v>
      </c>
      <c r="Q2234" s="11"/>
      <c r="R2234" s="19" t="s">
        <v>7538</v>
      </c>
      <c r="S2234" s="11"/>
      <c r="T2234" s="11"/>
      <c r="U2234" s="10" t="str">
        <f>HYPERLINK("https://pbs.twimg.com/profile_images/744627379444809729/lEdSus2W.jpg","View")</f>
        <v>View</v>
      </c>
    </row>
    <row r="2235" spans="1:21" ht="30.6">
      <c r="A2235" s="6">
        <v>43440.860937500001</v>
      </c>
      <c r="B2235" s="7" t="str">
        <f>HYPERLINK("https://twitter.com/ishkarioth","@ishkarioth")</f>
        <v>@ishkarioth</v>
      </c>
      <c r="C2235" s="8" t="s">
        <v>4510</v>
      </c>
      <c r="D2235" s="9" t="s">
        <v>4511</v>
      </c>
      <c r="E2235" s="10" t="str">
        <f>HYPERLINK("https://twitter.com/ishkarioth/status/1070764752220098561","1070764752220098561")</f>
        <v>1070764752220098561</v>
      </c>
      <c r="F2235" s="12" t="s">
        <v>4513</v>
      </c>
      <c r="G2235" s="11"/>
      <c r="H2235" s="11"/>
      <c r="I2235" s="13">
        <v>0</v>
      </c>
      <c r="J2235" s="13">
        <v>0</v>
      </c>
      <c r="K2235" s="14" t="str">
        <f>HYPERLINK("http://twitter.com/download/android","Twitter for Android")</f>
        <v>Twitter for Android</v>
      </c>
      <c r="L2235" s="13">
        <v>464</v>
      </c>
      <c r="M2235" s="13">
        <v>333</v>
      </c>
      <c r="N2235" s="13">
        <v>26</v>
      </c>
      <c r="O2235" s="15"/>
      <c r="P2235" s="6">
        <v>39456.020601851851</v>
      </c>
      <c r="Q2235" s="11"/>
      <c r="R2235" s="19" t="s">
        <v>4516</v>
      </c>
      <c r="S2235" s="11"/>
      <c r="T2235" s="11"/>
      <c r="U2235" s="10" t="str">
        <f>HYPERLINK("https://pbs.twimg.com/profile_images/571838871773839360/eA6iCjl1.jpeg","View")</f>
        <v>View</v>
      </c>
    </row>
    <row r="2236" spans="1:21" ht="91.8">
      <c r="A2236" s="6">
        <v>43440.860393518524</v>
      </c>
      <c r="B2236" s="7" t="str">
        <f>HYPERLINK("https://twitter.com/cesarcajete","@cesarcajete")</f>
        <v>@cesarcajete</v>
      </c>
      <c r="C2236" s="8" t="s">
        <v>4518</v>
      </c>
      <c r="D2236" s="9" t="s">
        <v>4519</v>
      </c>
      <c r="E2236" s="10" t="str">
        <f>HYPERLINK("https://twitter.com/cesarcajete/status/1070764556639760384","1070764556639760384")</f>
        <v>1070764556639760384</v>
      </c>
      <c r="F2236" s="12" t="s">
        <v>4520</v>
      </c>
      <c r="G2236" s="12" t="s">
        <v>4521</v>
      </c>
      <c r="H2236" s="11"/>
      <c r="I2236" s="13">
        <v>0</v>
      </c>
      <c r="J2236" s="13">
        <v>1</v>
      </c>
      <c r="K2236" s="14" t="str">
        <f t="shared" ref="K2236:K2237" si="380">HYPERLINK("http://twitter.com/download/iphone","Twitter for iPhone")</f>
        <v>Twitter for iPhone</v>
      </c>
      <c r="L2236" s="13">
        <v>3390</v>
      </c>
      <c r="M2236" s="13">
        <v>2460</v>
      </c>
      <c r="N2236" s="13">
        <v>613</v>
      </c>
      <c r="O2236" s="15"/>
      <c r="P2236" s="6">
        <v>39936.769293981481</v>
      </c>
      <c r="Q2236" s="18" t="s">
        <v>4522</v>
      </c>
      <c r="R2236" s="19" t="s">
        <v>4523</v>
      </c>
      <c r="S2236" s="12" t="s">
        <v>4524</v>
      </c>
      <c r="T2236" s="11"/>
      <c r="U2236" s="10" t="str">
        <f>HYPERLINK("https://pbs.twimg.com/profile_images/1028863757072719873/FYwwGXPE.jpg","View")</f>
        <v>View</v>
      </c>
    </row>
    <row r="2237" spans="1:21" ht="51">
      <c r="A2237" s="6">
        <v>43440.860289351855</v>
      </c>
      <c r="B2237" s="7" t="str">
        <f>HYPERLINK("https://twitter.com/bugallego","@bugallego")</f>
        <v>@bugallego</v>
      </c>
      <c r="C2237" s="8" t="s">
        <v>5067</v>
      </c>
      <c r="D2237" s="9" t="s">
        <v>7539</v>
      </c>
      <c r="E2237" s="10" t="str">
        <f>HYPERLINK("https://twitter.com/bugallego/status/1070764519222374400","1070764519222374400")</f>
        <v>1070764519222374400</v>
      </c>
      <c r="F2237" s="11"/>
      <c r="G2237" s="11"/>
      <c r="H2237" s="11"/>
      <c r="I2237" s="13">
        <v>0</v>
      </c>
      <c r="J2237" s="13">
        <v>0</v>
      </c>
      <c r="K2237" s="14" t="str">
        <f t="shared" si="380"/>
        <v>Twitter for iPhone</v>
      </c>
      <c r="L2237" s="13">
        <v>896</v>
      </c>
      <c r="M2237" s="13">
        <v>2078</v>
      </c>
      <c r="N2237" s="13">
        <v>48</v>
      </c>
      <c r="O2237" s="15"/>
      <c r="P2237" s="6">
        <v>41268.588877314818</v>
      </c>
      <c r="Q2237" s="18" t="s">
        <v>5069</v>
      </c>
      <c r="R2237" s="17"/>
      <c r="S2237" s="11"/>
      <c r="T2237" s="11"/>
      <c r="U2237" s="10" t="str">
        <f>HYPERLINK("https://pbs.twimg.com/profile_images/649499656670564352/wMuIX5o7.jpg","View")</f>
        <v>View</v>
      </c>
    </row>
    <row r="2238" spans="1:21" ht="20.399999999999999">
      <c r="A2238" s="6">
        <v>43440.85802083333</v>
      </c>
      <c r="B2238" s="7" t="str">
        <f>HYPERLINK("https://twitter.com/Pornosawa","@Pornosawa")</f>
        <v>@Pornosawa</v>
      </c>
      <c r="C2238" s="8" t="s">
        <v>7540</v>
      </c>
      <c r="D2238" s="9" t="s">
        <v>7541</v>
      </c>
      <c r="E2238" s="10" t="str">
        <f>HYPERLINK("https://twitter.com/Pornosawa/status/1070763693892399104","1070763693892399104")</f>
        <v>1070763693892399104</v>
      </c>
      <c r="F2238" s="11"/>
      <c r="G2238" s="12" t="s">
        <v>7542</v>
      </c>
      <c r="H2238" s="11"/>
      <c r="I2238" s="13">
        <v>0</v>
      </c>
      <c r="J2238" s="13">
        <v>2</v>
      </c>
      <c r="K2238" s="14" t="str">
        <f>HYPERLINK("http://twitter.com","Twitter Web Client")</f>
        <v>Twitter Web Client</v>
      </c>
      <c r="L2238" s="13">
        <v>6198</v>
      </c>
      <c r="M2238" s="13">
        <v>424</v>
      </c>
      <c r="N2238" s="13">
        <v>187</v>
      </c>
      <c r="O2238" s="15"/>
      <c r="P2238" s="6">
        <v>40006.59814814815</v>
      </c>
      <c r="Q2238" s="18" t="s">
        <v>41</v>
      </c>
      <c r="R2238" s="19" t="s">
        <v>7543</v>
      </c>
      <c r="S2238" s="12" t="s">
        <v>7544</v>
      </c>
      <c r="T2238" s="11"/>
      <c r="U2238" s="10" t="str">
        <f>HYPERLINK("https://pbs.twimg.com/profile_images/459307589809868800/U_sZ7vyk.png","View")</f>
        <v>View</v>
      </c>
    </row>
    <row r="2239" spans="1:21" ht="30.6">
      <c r="A2239" s="6">
        <v>43440.857800925922</v>
      </c>
      <c r="B2239" s="7" t="str">
        <f>HYPERLINK("https://twitter.com/carollm333","@carollm333")</f>
        <v>@carollm333</v>
      </c>
      <c r="C2239" s="8" t="s">
        <v>3386</v>
      </c>
      <c r="D2239" s="9" t="s">
        <v>7226</v>
      </c>
      <c r="E2239" s="10" t="str">
        <f>HYPERLINK("https://twitter.com/carollm333/status/1070763617405034499","1070763617405034499")</f>
        <v>1070763617405034499</v>
      </c>
      <c r="F2239" s="12" t="s">
        <v>1187</v>
      </c>
      <c r="G2239" s="11"/>
      <c r="H2239" s="11"/>
      <c r="I2239" s="13">
        <v>1</v>
      </c>
      <c r="J2239" s="13">
        <v>1</v>
      </c>
      <c r="K2239" s="14" t="str">
        <f t="shared" ref="K2239:K2241" si="381">HYPERLINK("http://twitter.com/download/android","Twitter for Android")</f>
        <v>Twitter for Android</v>
      </c>
      <c r="L2239" s="13">
        <v>1219</v>
      </c>
      <c r="M2239" s="13">
        <v>1042</v>
      </c>
      <c r="N2239" s="13">
        <v>78</v>
      </c>
      <c r="O2239" s="15"/>
      <c r="P2239" s="6">
        <v>40577.811874999999</v>
      </c>
      <c r="Q2239" s="11"/>
      <c r="R2239" s="17"/>
      <c r="S2239" s="11"/>
      <c r="T2239" s="11"/>
      <c r="U2239" s="10" t="str">
        <f>HYPERLINK("https://pbs.twimg.com/profile_images/1002860850015817729/9pVXZX1m.jpg","View")</f>
        <v>View</v>
      </c>
    </row>
    <row r="2240" spans="1:21" ht="61.2">
      <c r="A2240" s="6">
        <v>43440.857777777783</v>
      </c>
      <c r="B2240" s="7" t="str">
        <f>HYPERLINK("https://twitter.com/juanvelamacias","@juanvelamacias")</f>
        <v>@juanvelamacias</v>
      </c>
      <c r="C2240" s="8" t="s">
        <v>7434</v>
      </c>
      <c r="D2240" s="9" t="s">
        <v>7545</v>
      </c>
      <c r="E2240" s="10" t="str">
        <f>HYPERLINK("https://twitter.com/juanvelamacias/status/1070763605426089991","1070763605426089991")</f>
        <v>1070763605426089991</v>
      </c>
      <c r="F2240" s="12" t="s">
        <v>7546</v>
      </c>
      <c r="G2240" s="12" t="s">
        <v>7547</v>
      </c>
      <c r="H2240" s="11"/>
      <c r="I2240" s="13">
        <v>0</v>
      </c>
      <c r="J2240" s="13">
        <v>0</v>
      </c>
      <c r="K2240" s="14" t="str">
        <f t="shared" si="381"/>
        <v>Twitter for Android</v>
      </c>
      <c r="L2240" s="13">
        <v>1123</v>
      </c>
      <c r="M2240" s="13">
        <v>2374</v>
      </c>
      <c r="N2240" s="13">
        <v>10</v>
      </c>
      <c r="O2240" s="15"/>
      <c r="P2240" s="6">
        <v>42451.942858796298</v>
      </c>
      <c r="Q2240" s="18" t="s">
        <v>173</v>
      </c>
      <c r="R2240" s="17"/>
      <c r="S2240" s="11"/>
      <c r="T2240" s="11"/>
      <c r="U2240" s="10" t="str">
        <f>HYPERLINK("https://pbs.twimg.com/profile_images/712408246250840065/SN57pyJ7.jpg","View")</f>
        <v>View</v>
      </c>
    </row>
    <row r="2241" spans="1:21" ht="30.6">
      <c r="A2241" s="6">
        <v>43440.85765046296</v>
      </c>
      <c r="B2241" s="7" t="str">
        <f>HYPERLINK("https://twitter.com/EstaFeoDecirlo","@EstaFeoDecirlo")</f>
        <v>@EstaFeoDecirlo</v>
      </c>
      <c r="C2241" s="8" t="s">
        <v>4527</v>
      </c>
      <c r="D2241" s="9" t="s">
        <v>4528</v>
      </c>
      <c r="E2241" s="10" t="str">
        <f>HYPERLINK("https://twitter.com/EstaFeoDecirlo/status/1070763559255195648","1070763559255195648")</f>
        <v>1070763559255195648</v>
      </c>
      <c r="F2241" s="11"/>
      <c r="G2241" s="12" t="s">
        <v>4529</v>
      </c>
      <c r="H2241" s="11"/>
      <c r="I2241" s="13">
        <v>0</v>
      </c>
      <c r="J2241" s="13">
        <v>0</v>
      </c>
      <c r="K2241" s="14" t="str">
        <f t="shared" si="381"/>
        <v>Twitter for Android</v>
      </c>
      <c r="L2241" s="13">
        <v>1124</v>
      </c>
      <c r="M2241" s="13">
        <v>1258</v>
      </c>
      <c r="N2241" s="13">
        <v>10</v>
      </c>
      <c r="O2241" s="15"/>
      <c r="P2241" s="6">
        <v>41602.19835648148</v>
      </c>
      <c r="Q2241" s="11"/>
      <c r="R2241" s="19" t="s">
        <v>4531</v>
      </c>
      <c r="S2241" s="11"/>
      <c r="T2241" s="11"/>
      <c r="U2241" s="10" t="str">
        <f>HYPERLINK("https://pbs.twimg.com/profile_images/1016470611164585984/QwXXp9dz.jpg","View")</f>
        <v>View</v>
      </c>
    </row>
    <row r="2242" spans="1:21" ht="30.6">
      <c r="A2242" s="6">
        <v>43440.857349537036</v>
      </c>
      <c r="B2242" s="7" t="str">
        <f>HYPERLINK("https://twitter.com/sergio_rivas11","@sergio_rivas11")</f>
        <v>@sergio_rivas11</v>
      </c>
      <c r="C2242" s="8" t="s">
        <v>4534</v>
      </c>
      <c r="D2242" s="9" t="s">
        <v>4535</v>
      </c>
      <c r="E2242" s="10" t="str">
        <f>HYPERLINK("https://twitter.com/sergio_rivas11/status/1070763453726507010","1070763453726507010")</f>
        <v>1070763453726507010</v>
      </c>
      <c r="F2242" s="11"/>
      <c r="G2242" s="11"/>
      <c r="H2242" s="11"/>
      <c r="I2242" s="13">
        <v>0</v>
      </c>
      <c r="J2242" s="13">
        <v>0</v>
      </c>
      <c r="K2242" s="14" t="str">
        <f>HYPERLINK("http://twitter.com/download/iphone","Twitter for iPhone")</f>
        <v>Twitter for iPhone</v>
      </c>
      <c r="L2242" s="13">
        <v>97</v>
      </c>
      <c r="M2242" s="13">
        <v>335</v>
      </c>
      <c r="N2242" s="13">
        <v>3</v>
      </c>
      <c r="O2242" s="15"/>
      <c r="P2242" s="6">
        <v>40843.881840277776</v>
      </c>
      <c r="Q2242" s="18" t="s">
        <v>3762</v>
      </c>
      <c r="R2242" s="19" t="s">
        <v>4539</v>
      </c>
      <c r="S2242" s="11"/>
      <c r="T2242" s="11"/>
      <c r="U2242" s="10" t="str">
        <f>HYPERLINK("https://pbs.twimg.com/profile_images/583404874953580544/aegNBBfL.jpg","View")</f>
        <v>View</v>
      </c>
    </row>
    <row r="2243" spans="1:21" ht="51">
      <c r="A2243" s="6">
        <v>43440.85728009259</v>
      </c>
      <c r="B2243" s="7" t="str">
        <f>HYPERLINK("https://twitter.com/CarlosB44968198","@CarlosB44968198")</f>
        <v>@CarlosB44968198</v>
      </c>
      <c r="C2243" s="8" t="s">
        <v>4541</v>
      </c>
      <c r="D2243" s="9" t="s">
        <v>4542</v>
      </c>
      <c r="E2243" s="10" t="str">
        <f>HYPERLINK("https://twitter.com/CarlosB44968198/status/1070763425280729088","1070763425280729088")</f>
        <v>1070763425280729088</v>
      </c>
      <c r="F2243" s="12" t="s">
        <v>4543</v>
      </c>
      <c r="G2243" s="11"/>
      <c r="H2243" s="11"/>
      <c r="I2243" s="13">
        <v>1</v>
      </c>
      <c r="J2243" s="13">
        <v>0</v>
      </c>
      <c r="K2243" s="14" t="str">
        <f t="shared" ref="K2243:K2245" si="382">HYPERLINK("http://twitter.com","Twitter Web Client")</f>
        <v>Twitter Web Client</v>
      </c>
      <c r="L2243" s="13">
        <v>311</v>
      </c>
      <c r="M2243" s="13">
        <v>785</v>
      </c>
      <c r="N2243" s="13">
        <v>0</v>
      </c>
      <c r="O2243" s="15"/>
      <c r="P2243" s="6">
        <v>43298.629560185189</v>
      </c>
      <c r="Q2243" s="18" t="s">
        <v>4545</v>
      </c>
      <c r="R2243" s="19" t="s">
        <v>4546</v>
      </c>
      <c r="S2243" s="11"/>
      <c r="T2243" s="11"/>
      <c r="U2243" s="10" t="str">
        <f>HYPERLINK("https://pbs.twimg.com/profile_images/1070804976094580736/4cz1pQ_H.jpg","View")</f>
        <v>View</v>
      </c>
    </row>
    <row r="2244" spans="1:21" ht="112.2">
      <c r="A2244" s="6">
        <v>43440.856956018513</v>
      </c>
      <c r="B2244" s="7" t="str">
        <f>HYPERLINK("https://twitter.com/AfectadosCoop","@AfectadosCoop")</f>
        <v>@AfectadosCoop</v>
      </c>
      <c r="C2244" s="8" t="s">
        <v>4547</v>
      </c>
      <c r="D2244" s="9" t="s">
        <v>4548</v>
      </c>
      <c r="E2244" s="10" t="str">
        <f>HYPERLINK("https://twitter.com/AfectadosCoop/status/1070763309689987073","1070763309689987073")</f>
        <v>1070763309689987073</v>
      </c>
      <c r="F2244" s="12" t="s">
        <v>4549</v>
      </c>
      <c r="G2244" s="11"/>
      <c r="H2244" s="11"/>
      <c r="I2244" s="13">
        <v>3</v>
      </c>
      <c r="J2244" s="13">
        <v>2</v>
      </c>
      <c r="K2244" s="14" t="str">
        <f t="shared" si="382"/>
        <v>Twitter Web Client</v>
      </c>
      <c r="L2244" s="13">
        <v>266</v>
      </c>
      <c r="M2244" s="13">
        <v>687</v>
      </c>
      <c r="N2244" s="13">
        <v>1</v>
      </c>
      <c r="O2244" s="15"/>
      <c r="P2244" s="6">
        <v>43153.335879629631</v>
      </c>
      <c r="Q2244" s="18" t="s">
        <v>42</v>
      </c>
      <c r="R2244" s="19" t="s">
        <v>4551</v>
      </c>
      <c r="S2244" s="12" t="s">
        <v>4552</v>
      </c>
      <c r="T2244" s="11"/>
      <c r="U2244" s="10" t="str">
        <f>HYPERLINK("https://pbs.twimg.com/profile_images/966574929511682049/JXDRw6UJ.jpg","View")</f>
        <v>View</v>
      </c>
    </row>
    <row r="2245" spans="1:21" ht="20.399999999999999">
      <c r="A2245" s="6">
        <v>43440.856782407413</v>
      </c>
      <c r="B2245" s="7" t="str">
        <f>HYPERLINK("https://twitter.com/CAUTEXA","@CAUTEXA")</f>
        <v>@CAUTEXA</v>
      </c>
      <c r="C2245" s="8" t="s">
        <v>7548</v>
      </c>
      <c r="D2245" s="9" t="s">
        <v>2540</v>
      </c>
      <c r="E2245" s="10" t="str">
        <f>HYPERLINK("https://twitter.com/CAUTEXA/status/1070763248084049920","1070763248084049920")</f>
        <v>1070763248084049920</v>
      </c>
      <c r="F2245" s="12" t="s">
        <v>2543</v>
      </c>
      <c r="G2245" s="11"/>
      <c r="H2245" s="11"/>
      <c r="I2245" s="13">
        <v>0</v>
      </c>
      <c r="J2245" s="13">
        <v>0</v>
      </c>
      <c r="K2245" s="14" t="str">
        <f t="shared" si="382"/>
        <v>Twitter Web Client</v>
      </c>
      <c r="L2245" s="13">
        <v>103</v>
      </c>
      <c r="M2245" s="13">
        <v>266</v>
      </c>
      <c r="N2245" s="13">
        <v>1</v>
      </c>
      <c r="O2245" s="15"/>
      <c r="P2245" s="6">
        <v>40532.002060185187</v>
      </c>
      <c r="Q2245" s="18" t="s">
        <v>1430</v>
      </c>
      <c r="R2245" s="17"/>
      <c r="S2245" s="11"/>
      <c r="T2245" s="11"/>
      <c r="U2245" s="10" t="str">
        <f>HYPERLINK("https://pbs.twimg.com/profile_images/1834253769/MGA.jpg","View")</f>
        <v>View</v>
      </c>
    </row>
    <row r="2246" spans="1:21" ht="20.399999999999999">
      <c r="A2246" s="6">
        <v>43440.856423611112</v>
      </c>
      <c r="B2246" s="7" t="str">
        <f>HYPERLINK("https://twitter.com/GorkyXVII","@GorkyXVII")</f>
        <v>@GorkyXVII</v>
      </c>
      <c r="C2246" s="8" t="s">
        <v>7549</v>
      </c>
      <c r="D2246" s="9" t="s">
        <v>2453</v>
      </c>
      <c r="E2246" s="10" t="str">
        <f>HYPERLINK("https://twitter.com/GorkyXVII/status/1070763115061698561","1070763115061698561")</f>
        <v>1070763115061698561</v>
      </c>
      <c r="F2246" s="12" t="s">
        <v>2454</v>
      </c>
      <c r="G2246" s="11"/>
      <c r="H2246" s="11"/>
      <c r="I2246" s="13">
        <v>0</v>
      </c>
      <c r="J2246" s="13">
        <v>0</v>
      </c>
      <c r="K2246" s="14" t="str">
        <f>HYPERLINK("https://www.google.com/","Google")</f>
        <v>Google</v>
      </c>
      <c r="L2246" s="13">
        <v>19</v>
      </c>
      <c r="M2246" s="13">
        <v>44</v>
      </c>
      <c r="N2246" s="13">
        <v>0</v>
      </c>
      <c r="O2246" s="15"/>
      <c r="P2246" s="6">
        <v>41215.691863425927</v>
      </c>
      <c r="Q2246" s="18" t="s">
        <v>7550</v>
      </c>
      <c r="R2246" s="19" t="s">
        <v>7551</v>
      </c>
      <c r="S2246" s="11"/>
      <c r="T2246" s="11"/>
      <c r="U2246" s="10" t="str">
        <f>HYPERLINK("https://pbs.twimg.com/profile_images/567293597486039040/Xiv4P3vw.png","View")</f>
        <v>View</v>
      </c>
    </row>
    <row r="2247" spans="1:21" ht="30.6">
      <c r="A2247" s="6">
        <v>43440.856307870374</v>
      </c>
      <c r="B2247" s="7" t="str">
        <f>HYPERLINK("https://twitter.com/Mabe_Fer_","@Mabe_Fer_")</f>
        <v>@Mabe_Fer_</v>
      </c>
      <c r="C2247" s="8" t="s">
        <v>75</v>
      </c>
      <c r="D2247" s="9" t="s">
        <v>4556</v>
      </c>
      <c r="E2247" s="10" t="str">
        <f>HYPERLINK("https://twitter.com/Mabe_Fer_/status/1070763073768697856","1070763073768697856")</f>
        <v>1070763073768697856</v>
      </c>
      <c r="F2247" s="12" t="s">
        <v>2803</v>
      </c>
      <c r="G2247" s="11"/>
      <c r="H2247" s="11"/>
      <c r="I2247" s="13">
        <v>0</v>
      </c>
      <c r="J2247" s="13">
        <v>1</v>
      </c>
      <c r="K2247" s="14" t="str">
        <f>HYPERLINK("http://twitter.com/download/android","Twitter for Android")</f>
        <v>Twitter for Android</v>
      </c>
      <c r="L2247" s="13">
        <v>384</v>
      </c>
      <c r="M2247" s="13">
        <v>254</v>
      </c>
      <c r="N2247" s="13">
        <v>0</v>
      </c>
      <c r="O2247" s="15"/>
      <c r="P2247" s="6">
        <v>43237.386134259257</v>
      </c>
      <c r="Q2247" s="18" t="s">
        <v>78</v>
      </c>
      <c r="R2247" s="19" t="s">
        <v>79</v>
      </c>
      <c r="S2247" s="11"/>
      <c r="T2247" s="11"/>
      <c r="U2247" s="10" t="str">
        <f>HYPERLINK("https://pbs.twimg.com/profile_images/1063816291390316544/8Ae4B9b0.jpg","View")</f>
        <v>View</v>
      </c>
    </row>
    <row r="2248" spans="1:21" ht="30.6">
      <c r="A2248" s="6">
        <v>43440.856168981481</v>
      </c>
      <c r="B2248" s="7" t="str">
        <f>HYPERLINK("https://twitter.com/silvana100460","@silvana100460")</f>
        <v>@silvana100460</v>
      </c>
      <c r="C2248" s="8" t="s">
        <v>7552</v>
      </c>
      <c r="D2248" s="9" t="s">
        <v>3154</v>
      </c>
      <c r="E2248" s="10" t="str">
        <f>HYPERLINK("https://twitter.com/silvana100460/status/1070763024045273088","1070763024045273088")</f>
        <v>1070763024045273088</v>
      </c>
      <c r="F2248" s="12" t="s">
        <v>712</v>
      </c>
      <c r="G2248" s="11"/>
      <c r="H2248" s="11"/>
      <c r="I2248" s="13">
        <v>0</v>
      </c>
      <c r="J2248" s="13">
        <v>0</v>
      </c>
      <c r="K2248" s="14" t="str">
        <f>HYPERLINK("http://twitter.com/download/iphone","Twitter for iPhone")</f>
        <v>Twitter for iPhone</v>
      </c>
      <c r="L2248" s="13">
        <v>46</v>
      </c>
      <c r="M2248" s="13">
        <v>68</v>
      </c>
      <c r="N2248" s="13">
        <v>0</v>
      </c>
      <c r="O2248" s="15"/>
      <c r="P2248" s="6">
        <v>41567.156226851854</v>
      </c>
      <c r="Q2248" s="11"/>
      <c r="R2248" s="17"/>
      <c r="S2248" s="11"/>
      <c r="T2248" s="11"/>
      <c r="U2248" s="10" t="str">
        <f>HYPERLINK("https://pbs.twimg.com/profile_images/648367521318440960/tnVW4Fia.jpg","View")</f>
        <v>View</v>
      </c>
    </row>
    <row r="2249" spans="1:21" ht="20.399999999999999">
      <c r="A2249" s="6">
        <v>43440.855636574073</v>
      </c>
      <c r="B2249" s="7" t="str">
        <f>HYPERLINK("https://twitter.com/rataeclectica","@rataeclectica")</f>
        <v>@rataeclectica</v>
      </c>
      <c r="C2249" s="8" t="s">
        <v>7553</v>
      </c>
      <c r="D2249" s="9" t="s">
        <v>7554</v>
      </c>
      <c r="E2249" s="10" t="str">
        <f>HYPERLINK("https://twitter.com/rataeclectica/status/1070762831979704325","1070762831979704325")</f>
        <v>1070762831979704325</v>
      </c>
      <c r="F2249" s="11"/>
      <c r="G2249" s="12" t="s">
        <v>7555</v>
      </c>
      <c r="H2249" s="11"/>
      <c r="I2249" s="13">
        <v>0</v>
      </c>
      <c r="J2249" s="13">
        <v>1</v>
      </c>
      <c r="K2249" s="14" t="str">
        <f>HYPERLINK("https://about.twitter.com/products/tweetdeck","TweetDeck")</f>
        <v>TweetDeck</v>
      </c>
      <c r="L2249" s="13">
        <v>673</v>
      </c>
      <c r="M2249" s="13">
        <v>237</v>
      </c>
      <c r="N2249" s="13">
        <v>11</v>
      </c>
      <c r="O2249" s="15"/>
      <c r="P2249" s="6">
        <v>42421.151053240741</v>
      </c>
      <c r="Q2249" s="11"/>
      <c r="R2249" s="19" t="s">
        <v>7556</v>
      </c>
      <c r="S2249" s="11"/>
      <c r="T2249" s="11"/>
      <c r="U2249" s="10" t="str">
        <f>HYPERLINK("https://pbs.twimg.com/profile_images/741010899452997632/odV38_Jf.jpg","View")</f>
        <v>View</v>
      </c>
    </row>
    <row r="2250" spans="1:21" ht="40.799999999999997">
      <c r="A2250" s="6">
        <v>43440.855358796296</v>
      </c>
      <c r="B2250" s="7" t="str">
        <f>HYPERLINK("https://twitter.com/CEspinel11","@CEspinel11")</f>
        <v>@CEspinel11</v>
      </c>
      <c r="C2250" s="8" t="s">
        <v>7557</v>
      </c>
      <c r="D2250" s="9" t="s">
        <v>7558</v>
      </c>
      <c r="E2250" s="10" t="str">
        <f>HYPERLINK("https://twitter.com/CEspinel11/status/1070762729630257159","1070762729630257159")</f>
        <v>1070762729630257159</v>
      </c>
      <c r="F2250" s="11"/>
      <c r="G2250" s="11"/>
      <c r="H2250" s="11"/>
      <c r="I2250" s="13">
        <v>0</v>
      </c>
      <c r="J2250" s="13">
        <v>4</v>
      </c>
      <c r="K2250" s="14" t="str">
        <f>HYPERLINK("http://twitter.com/download/android","Twitter for Android")</f>
        <v>Twitter for Android</v>
      </c>
      <c r="L2250" s="13">
        <v>576</v>
      </c>
      <c r="M2250" s="13">
        <v>745</v>
      </c>
      <c r="N2250" s="13">
        <v>9</v>
      </c>
      <c r="O2250" s="15"/>
      <c r="P2250" s="6">
        <v>41022.574664351851</v>
      </c>
      <c r="Q2250" s="18" t="s">
        <v>7559</v>
      </c>
      <c r="R2250" s="19" t="s">
        <v>7560</v>
      </c>
      <c r="S2250" s="11"/>
      <c r="T2250" s="11"/>
      <c r="U2250" s="10" t="str">
        <f>HYPERLINK("https://pbs.twimg.com/profile_images/999527679572377600/CsCUMBnJ.jpg","View")</f>
        <v>View</v>
      </c>
    </row>
    <row r="2251" spans="1:21" ht="20.399999999999999">
      <c r="A2251" s="6">
        <v>43440.854687500003</v>
      </c>
      <c r="B2251" s="7" t="str">
        <f>HYPERLINK("https://twitter.com/jrc199143","@jrc199143")</f>
        <v>@jrc199143</v>
      </c>
      <c r="C2251" s="8" t="s">
        <v>7561</v>
      </c>
      <c r="D2251" s="9" t="s">
        <v>6637</v>
      </c>
      <c r="E2251" s="10" t="str">
        <f>HYPERLINK("https://twitter.com/jrc199143/status/1070762489103699969","1070762489103699969")</f>
        <v>1070762489103699969</v>
      </c>
      <c r="F2251" s="12" t="s">
        <v>3589</v>
      </c>
      <c r="G2251" s="11"/>
      <c r="H2251" s="11"/>
      <c r="I2251" s="13">
        <v>0</v>
      </c>
      <c r="J2251" s="13">
        <v>0</v>
      </c>
      <c r="K2251" s="14" t="str">
        <f>HYPERLINK("http://twitter.com","Twitter Web Client")</f>
        <v>Twitter Web Client</v>
      </c>
      <c r="L2251" s="13">
        <v>3</v>
      </c>
      <c r="M2251" s="13">
        <v>16</v>
      </c>
      <c r="N2251" s="13">
        <v>0</v>
      </c>
      <c r="O2251" s="15"/>
      <c r="P2251" s="6">
        <v>40867.706412037034</v>
      </c>
      <c r="Q2251" s="18" t="s">
        <v>6467</v>
      </c>
      <c r="R2251" s="17"/>
      <c r="S2251" s="11"/>
      <c r="T2251" s="11"/>
      <c r="U2251" s="10" t="str">
        <f>HYPERLINK("https://pbs.twimg.com/profile_images/1676978174/CIMG0286.JPG","View")</f>
        <v>View</v>
      </c>
    </row>
    <row r="2252" spans="1:21" ht="20.399999999999999">
      <c r="A2252" s="6">
        <v>43440.854270833333</v>
      </c>
      <c r="B2252" s="7" t="str">
        <f>HYPERLINK("https://twitter.com/RubenOdy","@RubenOdy")</f>
        <v>@RubenOdy</v>
      </c>
      <c r="C2252" s="8" t="s">
        <v>7562</v>
      </c>
      <c r="D2252" s="9" t="s">
        <v>2453</v>
      </c>
      <c r="E2252" s="10" t="str">
        <f>HYPERLINK("https://twitter.com/RubenOdy/status/1070762337982791680","1070762337982791680")</f>
        <v>1070762337982791680</v>
      </c>
      <c r="F2252" s="12" t="s">
        <v>2454</v>
      </c>
      <c r="G2252" s="11"/>
      <c r="H2252" s="11"/>
      <c r="I2252" s="13">
        <v>0</v>
      </c>
      <c r="J2252" s="13">
        <v>0</v>
      </c>
      <c r="K2252" s="14" t="str">
        <f>HYPERLINK("https://www.google.com/","Google")</f>
        <v>Google</v>
      </c>
      <c r="L2252" s="13">
        <v>441</v>
      </c>
      <c r="M2252" s="13">
        <v>4997</v>
      </c>
      <c r="N2252" s="13">
        <v>1</v>
      </c>
      <c r="O2252" s="15"/>
      <c r="P2252" s="6">
        <v>43127.852256944447</v>
      </c>
      <c r="Q2252" s="18" t="s">
        <v>7563</v>
      </c>
      <c r="R2252" s="19" t="s">
        <v>7564</v>
      </c>
      <c r="S2252" s="11"/>
      <c r="T2252" s="11"/>
      <c r="U2252" s="10" t="str">
        <f>HYPERLINK("https://pbs.twimg.com/profile_images/974402050183360512/inbdPZqh.jpg","View")</f>
        <v>View</v>
      </c>
    </row>
    <row r="2253" spans="1:21" ht="30.6">
      <c r="A2253" s="6">
        <v>43440.85423611111</v>
      </c>
      <c r="B2253" s="7" t="str">
        <f>HYPERLINK("https://twitter.com/mejoreszasca","@mejoreszasca")</f>
        <v>@mejoreszasca</v>
      </c>
      <c r="C2253" s="8" t="s">
        <v>4562</v>
      </c>
      <c r="D2253" s="9" t="s">
        <v>4563</v>
      </c>
      <c r="E2253" s="10" t="str">
        <f>HYPERLINK("https://twitter.com/mejoreszasca/status/1070762323843956737","1070762323843956737")</f>
        <v>1070762323843956737</v>
      </c>
      <c r="F2253" s="11"/>
      <c r="G2253" s="12" t="s">
        <v>4564</v>
      </c>
      <c r="H2253" s="11"/>
      <c r="I2253" s="13">
        <v>127</v>
      </c>
      <c r="J2253" s="13">
        <v>325</v>
      </c>
      <c r="K2253" s="14" t="str">
        <f>HYPERLINK("http://twitter.com/download/iphone","Twitter for iPhone")</f>
        <v>Twitter for iPhone</v>
      </c>
      <c r="L2253" s="13">
        <v>96782</v>
      </c>
      <c r="M2253" s="13">
        <v>295</v>
      </c>
      <c r="N2253" s="13">
        <v>462</v>
      </c>
      <c r="O2253" s="15"/>
      <c r="P2253" s="6">
        <v>42064.451701388884</v>
      </c>
      <c r="Q2253" s="18" t="s">
        <v>4565</v>
      </c>
      <c r="R2253" s="19" t="s">
        <v>4566</v>
      </c>
      <c r="S2253" s="11"/>
      <c r="T2253" s="11"/>
      <c r="U2253" s="10" t="str">
        <f>HYPERLINK("https://pbs.twimg.com/profile_images/1051075553011425282/KXPCBjix.jpg","View")</f>
        <v>View</v>
      </c>
    </row>
    <row r="2254" spans="1:21" ht="40.799999999999997">
      <c r="A2254" s="6">
        <v>43440.854178240741</v>
      </c>
      <c r="B2254" s="7" t="str">
        <f>HYPERLINK("https://twitter.com/20m","@20m")</f>
        <v>@20m</v>
      </c>
      <c r="C2254" s="22" t="s">
        <v>7565</v>
      </c>
      <c r="D2254" s="9" t="s">
        <v>7566</v>
      </c>
      <c r="E2254" s="10" t="str">
        <f>HYPERLINK("https://twitter.com/20m/status/1070762301278642176","1070762301278642176")</f>
        <v>1070762301278642176</v>
      </c>
      <c r="F2254" s="12" t="s">
        <v>7567</v>
      </c>
      <c r="G2254" s="11"/>
      <c r="H2254" s="11"/>
      <c r="I2254" s="13">
        <v>10</v>
      </c>
      <c r="J2254" s="13">
        <v>19</v>
      </c>
      <c r="K2254" s="14" t="str">
        <f>HYPERLINK("http://dogtrack.es","DogTrack_Oficial")</f>
        <v>DogTrack_Oficial</v>
      </c>
      <c r="L2254" s="13">
        <v>1353521</v>
      </c>
      <c r="M2254" s="13">
        <v>51093</v>
      </c>
      <c r="N2254" s="13">
        <v>14084</v>
      </c>
      <c r="O2254" s="16" t="s">
        <v>25</v>
      </c>
      <c r="P2254" s="6">
        <v>39917.485891203702</v>
      </c>
      <c r="Q2254" s="18" t="s">
        <v>256</v>
      </c>
      <c r="R2254" s="19" t="s">
        <v>7568</v>
      </c>
      <c r="S2254" s="12" t="s">
        <v>7569</v>
      </c>
      <c r="T2254" s="11"/>
      <c r="U2254" s="10" t="str">
        <f>HYPERLINK("https://pbs.twimg.com/profile_images/1013670314285420544/gwCE6EJr.jpg","View")</f>
        <v>View</v>
      </c>
    </row>
    <row r="2255" spans="1:21" ht="20.399999999999999">
      <c r="A2255" s="6">
        <v>43440.853935185187</v>
      </c>
      <c r="B2255" s="7" t="str">
        <f>HYPERLINK("https://twitter.com/alav2012","@alav2012")</f>
        <v>@alav2012</v>
      </c>
      <c r="C2255" s="8" t="s">
        <v>7570</v>
      </c>
      <c r="D2255" s="9" t="s">
        <v>6637</v>
      </c>
      <c r="E2255" s="10" t="str">
        <f>HYPERLINK("https://twitter.com/alav2012/status/1070762213433061378","1070762213433061378")</f>
        <v>1070762213433061378</v>
      </c>
      <c r="F2255" s="12" t="s">
        <v>3589</v>
      </c>
      <c r="G2255" s="11"/>
      <c r="H2255" s="11"/>
      <c r="I2255" s="13">
        <v>0</v>
      </c>
      <c r="J2255" s="13">
        <v>0</v>
      </c>
      <c r="K2255" s="14" t="str">
        <f>HYPERLINK("http://twitter.com/download/android","Twitter for Android")</f>
        <v>Twitter for Android</v>
      </c>
      <c r="L2255" s="13">
        <v>13090</v>
      </c>
      <c r="M2255" s="13">
        <v>13682</v>
      </c>
      <c r="N2255" s="13">
        <v>24</v>
      </c>
      <c r="O2255" s="15"/>
      <c r="P2255" s="6">
        <v>41252.014976851853</v>
      </c>
      <c r="Q2255" s="18" t="s">
        <v>7571</v>
      </c>
      <c r="R2255" s="17"/>
      <c r="S2255" s="11"/>
      <c r="T2255" s="11"/>
      <c r="U2255" s="10" t="str">
        <f>HYPERLINK("https://pbs.twimg.com/profile_images/2953608355/4490ac1b835f73e3cd80ddf8d395257b.jpeg","View")</f>
        <v>View</v>
      </c>
    </row>
    <row r="2256" spans="1:21" ht="51">
      <c r="A2256" s="6">
        <v>43440.853425925925</v>
      </c>
      <c r="B2256" s="7" t="str">
        <f>HYPERLINK("https://twitter.com/vicentecervera","@vicentecervera")</f>
        <v>@vicentecervera</v>
      </c>
      <c r="C2256" s="8" t="s">
        <v>7572</v>
      </c>
      <c r="D2256" s="9" t="s">
        <v>7573</v>
      </c>
      <c r="E2256" s="10" t="str">
        <f>HYPERLINK("https://twitter.com/vicentecervera/status/1070762031534538752","1070762031534538752")</f>
        <v>1070762031534538752</v>
      </c>
      <c r="F2256" s="11"/>
      <c r="G2256" s="11"/>
      <c r="H2256" s="11"/>
      <c r="I2256" s="13">
        <v>0</v>
      </c>
      <c r="J2256" s="13">
        <v>1</v>
      </c>
      <c r="K2256" s="14" t="str">
        <f>HYPERLINK("http://twitter.com/download/iphone","Twitter for iPhone")</f>
        <v>Twitter for iPhone</v>
      </c>
      <c r="L2256" s="13">
        <v>1285</v>
      </c>
      <c r="M2256" s="13">
        <v>1761</v>
      </c>
      <c r="N2256" s="13">
        <v>57</v>
      </c>
      <c r="O2256" s="15"/>
      <c r="P2256" s="6">
        <v>39834.398402777777</v>
      </c>
      <c r="Q2256" s="18" t="s">
        <v>467</v>
      </c>
      <c r="R2256" s="19" t="s">
        <v>7574</v>
      </c>
      <c r="S2256" s="12" t="s">
        <v>7575</v>
      </c>
      <c r="T2256" s="11"/>
      <c r="U2256" s="10" t="str">
        <f>HYPERLINK("https://pbs.twimg.com/profile_images/1066418978225045504/TKoi_zux.jpg","View")</f>
        <v>View</v>
      </c>
    </row>
    <row r="2257" spans="1:21" ht="51">
      <c r="A2257" s="6">
        <v>43440.852592592593</v>
      </c>
      <c r="B2257" s="7" t="str">
        <f>HYPERLINK("https://twitter.com/numer344","@numer344")</f>
        <v>@numer344</v>
      </c>
      <c r="C2257" s="8" t="s">
        <v>7576</v>
      </c>
      <c r="D2257" s="9" t="s">
        <v>7577</v>
      </c>
      <c r="E2257" s="10" t="str">
        <f>HYPERLINK("https://twitter.com/numer344/status/1070761728298901505","1070761728298901505")</f>
        <v>1070761728298901505</v>
      </c>
      <c r="F2257" s="11"/>
      <c r="G2257" s="11"/>
      <c r="H2257" s="11"/>
      <c r="I2257" s="13">
        <v>494</v>
      </c>
      <c r="J2257" s="13">
        <v>857</v>
      </c>
      <c r="K2257" s="14" t="str">
        <f>HYPERLINK("http://twitter.com","Twitter Web Client")</f>
        <v>Twitter Web Client</v>
      </c>
      <c r="L2257" s="13">
        <v>48342</v>
      </c>
      <c r="M2257" s="13">
        <v>19005</v>
      </c>
      <c r="N2257" s="13">
        <v>220</v>
      </c>
      <c r="O2257" s="15"/>
      <c r="P2257" s="6">
        <v>42913.944537037038</v>
      </c>
      <c r="Q2257" s="11"/>
      <c r="R2257" s="17"/>
      <c r="S2257" s="11"/>
      <c r="T2257" s="11"/>
      <c r="U2257" s="10" t="str">
        <f>HYPERLINK("https://pbs.twimg.com/profile_images/880028261270638592/VqXmYtU3.jpg","View")</f>
        <v>View</v>
      </c>
    </row>
    <row r="2258" spans="1:21" ht="20.399999999999999">
      <c r="A2258" s="6">
        <v>43440.852418981478</v>
      </c>
      <c r="B2258" s="7" t="str">
        <f>HYPERLINK("https://twitter.com/pol_moon","@pol_moon")</f>
        <v>@pol_moon</v>
      </c>
      <c r="C2258" s="8" t="s">
        <v>7578</v>
      </c>
      <c r="D2258" s="9" t="s">
        <v>7463</v>
      </c>
      <c r="E2258" s="10" t="str">
        <f>HYPERLINK("https://twitter.com/pol_moon/status/1070761664067395585","1070761664067395585")</f>
        <v>1070761664067395585</v>
      </c>
      <c r="F2258" s="12" t="s">
        <v>2454</v>
      </c>
      <c r="G2258" s="11"/>
      <c r="H2258" s="11"/>
      <c r="I2258" s="13">
        <v>0</v>
      </c>
      <c r="J2258" s="13">
        <v>0</v>
      </c>
      <c r="K2258" s="14" t="str">
        <f>HYPERLINK("https://www.google.com/","Google")</f>
        <v>Google</v>
      </c>
      <c r="L2258" s="13">
        <v>11</v>
      </c>
      <c r="M2258" s="13">
        <v>126</v>
      </c>
      <c r="N2258" s="13">
        <v>0</v>
      </c>
      <c r="O2258" s="15"/>
      <c r="P2258" s="6">
        <v>43219.314062500001</v>
      </c>
      <c r="Q2258" s="18" t="s">
        <v>7579</v>
      </c>
      <c r="R2258" s="17"/>
      <c r="S2258" s="11"/>
      <c r="T2258" s="11"/>
      <c r="U2258" s="10" t="str">
        <f>HYPERLINK("https://pbs.twimg.com/profile_images/993546595093401600/o0gL-W9i.jpg","View")</f>
        <v>View</v>
      </c>
    </row>
    <row r="2259" spans="1:21" ht="20.399999999999999">
      <c r="A2259" s="6">
        <v>43440.852372685185</v>
      </c>
      <c r="B2259" s="7" t="str">
        <f>HYPERLINK("https://twitter.com/AlmeriaSoledad","@AlmeriaSoledad")</f>
        <v>@AlmeriaSoledad</v>
      </c>
      <c r="C2259" s="8" t="s">
        <v>7580</v>
      </c>
      <c r="D2259" s="9" t="s">
        <v>3024</v>
      </c>
      <c r="E2259" s="10" t="str">
        <f>HYPERLINK("https://twitter.com/AlmeriaSoledad/status/1070761648506486785","1070761648506486785")</f>
        <v>1070761648506486785</v>
      </c>
      <c r="F2259" s="12" t="s">
        <v>7581</v>
      </c>
      <c r="G2259" s="11"/>
      <c r="H2259" s="11"/>
      <c r="I2259" s="13">
        <v>2</v>
      </c>
      <c r="J2259" s="13">
        <v>5</v>
      </c>
      <c r="K2259" s="14" t="str">
        <f>HYPERLINK("http://twitter.com/download/iphone","Twitter for iPhone")</f>
        <v>Twitter for iPhone</v>
      </c>
      <c r="L2259" s="13">
        <v>23</v>
      </c>
      <c r="M2259" s="13">
        <v>102</v>
      </c>
      <c r="N2259" s="13">
        <v>0</v>
      </c>
      <c r="O2259" s="15"/>
      <c r="P2259" s="6">
        <v>43423.64099537037</v>
      </c>
      <c r="Q2259" s="18" t="s">
        <v>6383</v>
      </c>
      <c r="R2259" s="17"/>
      <c r="S2259" s="11"/>
      <c r="T2259" s="11"/>
      <c r="U2259" s="10" t="str">
        <f>HYPERLINK("https://pbs.twimg.com/profile_images/1064529607200858112/6mVSIchv.jpg","View")</f>
        <v>View</v>
      </c>
    </row>
    <row r="2260" spans="1:21" ht="61.2">
      <c r="A2260" s="6">
        <v>43440.852361111116</v>
      </c>
      <c r="B2260" s="7" t="str">
        <f>HYPERLINK("https://twitter.com/abarea_es","@abarea_es")</f>
        <v>@abarea_es</v>
      </c>
      <c r="C2260" s="8" t="s">
        <v>3017</v>
      </c>
      <c r="D2260" s="9" t="s">
        <v>4570</v>
      </c>
      <c r="E2260" s="10" t="str">
        <f>HYPERLINK("https://twitter.com/abarea_es/status/1070761644144369664","1070761644144369664")</f>
        <v>1070761644144369664</v>
      </c>
      <c r="F2260" s="12" t="s">
        <v>2981</v>
      </c>
      <c r="G2260" s="12" t="s">
        <v>2500</v>
      </c>
      <c r="H2260" s="11"/>
      <c r="I2260" s="13">
        <v>1</v>
      </c>
      <c r="J2260" s="13">
        <v>1</v>
      </c>
      <c r="K2260" s="14" t="str">
        <f t="shared" ref="K2260:K2262" si="383">HYPERLINK("http://twitter.com","Twitter Web Client")</f>
        <v>Twitter Web Client</v>
      </c>
      <c r="L2260" s="13">
        <v>1743</v>
      </c>
      <c r="M2260" s="13">
        <v>2372</v>
      </c>
      <c r="N2260" s="13">
        <v>18</v>
      </c>
      <c r="O2260" s="15"/>
      <c r="P2260" s="6">
        <v>40645.854930555557</v>
      </c>
      <c r="Q2260" s="18" t="s">
        <v>2896</v>
      </c>
      <c r="R2260" s="19" t="s">
        <v>3021</v>
      </c>
      <c r="S2260" s="11"/>
      <c r="T2260" s="11"/>
      <c r="U2260" s="10" t="str">
        <f>HYPERLINK("https://pbs.twimg.com/profile_images/938839925201555462/61j9MW37.jpg","View")</f>
        <v>View</v>
      </c>
    </row>
    <row r="2261" spans="1:21" ht="40.799999999999997">
      <c r="A2261" s="6">
        <v>43440.85229166667</v>
      </c>
      <c r="B2261" s="7" t="str">
        <f>HYPERLINK("https://twitter.com/Parnasillo","@Parnasillo")</f>
        <v>@Parnasillo</v>
      </c>
      <c r="C2261" s="8" t="s">
        <v>7582</v>
      </c>
      <c r="D2261" s="9" t="s">
        <v>7583</v>
      </c>
      <c r="E2261" s="10" t="str">
        <f>HYPERLINK("https://twitter.com/Parnasillo/status/1070761618785619973","1070761618785619973")</f>
        <v>1070761618785619973</v>
      </c>
      <c r="F2261" s="11"/>
      <c r="G2261" s="11"/>
      <c r="H2261" s="11"/>
      <c r="I2261" s="13">
        <v>0</v>
      </c>
      <c r="J2261" s="13">
        <v>3</v>
      </c>
      <c r="K2261" s="14" t="str">
        <f t="shared" si="383"/>
        <v>Twitter Web Client</v>
      </c>
      <c r="L2261" s="13">
        <v>7434</v>
      </c>
      <c r="M2261" s="13">
        <v>5395</v>
      </c>
      <c r="N2261" s="13">
        <v>93</v>
      </c>
      <c r="O2261" s="15"/>
      <c r="P2261" s="6">
        <v>40870.448888888888</v>
      </c>
      <c r="Q2261" s="18" t="s">
        <v>7584</v>
      </c>
      <c r="R2261" s="19" t="s">
        <v>7585</v>
      </c>
      <c r="S2261" s="12" t="s">
        <v>7586</v>
      </c>
      <c r="T2261" s="11"/>
      <c r="U2261" s="10" t="str">
        <f>HYPERLINK("https://pbs.twimg.com/profile_images/1012999911091179522/wj_cpVzJ.jpg","View")</f>
        <v>View</v>
      </c>
    </row>
    <row r="2262" spans="1:21" ht="40.799999999999997">
      <c r="A2262" s="6">
        <v>43440.85224537037</v>
      </c>
      <c r="B2262" s="7" t="str">
        <f>HYPERLINK("https://twitter.com/indeciso62","@indeciso62")</f>
        <v>@indeciso62</v>
      </c>
      <c r="C2262" s="8" t="s">
        <v>3423</v>
      </c>
      <c r="D2262" s="9" t="s">
        <v>7587</v>
      </c>
      <c r="E2262" s="10" t="str">
        <f>HYPERLINK("https://twitter.com/indeciso62/status/1070761604252401664","1070761604252401664")</f>
        <v>1070761604252401664</v>
      </c>
      <c r="F2262" s="12" t="s">
        <v>3773</v>
      </c>
      <c r="G2262" s="11"/>
      <c r="H2262" s="11"/>
      <c r="I2262" s="13">
        <v>0</v>
      </c>
      <c r="J2262" s="13">
        <v>0</v>
      </c>
      <c r="K2262" s="14" t="str">
        <f t="shared" si="383"/>
        <v>Twitter Web Client</v>
      </c>
      <c r="L2262" s="13">
        <v>446</v>
      </c>
      <c r="M2262" s="13">
        <v>399</v>
      </c>
      <c r="N2262" s="13">
        <v>0</v>
      </c>
      <c r="O2262" s="15"/>
      <c r="P2262" s="6">
        <v>43128.550162037034</v>
      </c>
      <c r="Q2262" s="18" t="s">
        <v>7588</v>
      </c>
      <c r="R2262" s="19" t="s">
        <v>7589</v>
      </c>
      <c r="S2262" s="11"/>
      <c r="T2262" s="11"/>
      <c r="U2262" s="10" t="str">
        <f>HYPERLINK("https://pbs.twimg.com/profile_images/962294955304726528/hsU-XuQp.jpg","View")</f>
        <v>View</v>
      </c>
    </row>
    <row r="2263" spans="1:21" ht="30.6">
      <c r="A2263" s="6">
        <v>43440.851898148147</v>
      </c>
      <c r="B2263" s="7" t="str">
        <f>HYPERLINK("https://twitter.com/puringerMe","@puringerMe")</f>
        <v>@puringerMe</v>
      </c>
      <c r="C2263" s="8" t="s">
        <v>7590</v>
      </c>
      <c r="D2263" s="9" t="s">
        <v>7591</v>
      </c>
      <c r="E2263" s="10" t="str">
        <f>HYPERLINK("https://twitter.com/puringerMe/status/1070761478616178688","1070761478616178688")</f>
        <v>1070761478616178688</v>
      </c>
      <c r="F2263" s="11"/>
      <c r="G2263" s="11"/>
      <c r="H2263" s="11"/>
      <c r="I2263" s="13">
        <v>4</v>
      </c>
      <c r="J2263" s="13">
        <v>19</v>
      </c>
      <c r="K2263" s="14" t="str">
        <f>HYPERLINK("http://twitter.com/download/iphone","Twitter for iPhone")</f>
        <v>Twitter for iPhone</v>
      </c>
      <c r="L2263" s="13">
        <v>6021</v>
      </c>
      <c r="M2263" s="13">
        <v>652</v>
      </c>
      <c r="N2263" s="13">
        <v>113</v>
      </c>
      <c r="O2263" s="15"/>
      <c r="P2263" s="6">
        <v>41412.412974537037</v>
      </c>
      <c r="Q2263" s="18" t="s">
        <v>7592</v>
      </c>
      <c r="R2263" s="19" t="s">
        <v>7593</v>
      </c>
      <c r="S2263" s="11"/>
      <c r="T2263" s="11"/>
      <c r="U2263" s="10" t="str">
        <f>HYPERLINK("https://pbs.twimg.com/profile_images/1056590118096658432/bUNbxSxB.jpg","View")</f>
        <v>View</v>
      </c>
    </row>
    <row r="2264" spans="1:21" ht="51">
      <c r="A2264" s="6">
        <v>43440.851840277777</v>
      </c>
      <c r="B2264" s="7" t="str">
        <f>HYPERLINK("https://twitter.com/Figarodixit","@Figarodixit")</f>
        <v>@Figarodixit</v>
      </c>
      <c r="C2264" s="8" t="s">
        <v>4571</v>
      </c>
      <c r="D2264" s="9" t="s">
        <v>4572</v>
      </c>
      <c r="E2264" s="10" t="str">
        <f>HYPERLINK("https://twitter.com/Figarodixit/status/1070761457581731840","1070761457581731840")</f>
        <v>1070761457581731840</v>
      </c>
      <c r="F2264" s="12" t="s">
        <v>4573</v>
      </c>
      <c r="G2264" s="11"/>
      <c r="H2264" s="11"/>
      <c r="I2264" s="13">
        <v>0</v>
      </c>
      <c r="J2264" s="13">
        <v>0</v>
      </c>
      <c r="K2264" s="14" t="str">
        <f t="shared" ref="K2264:K2265" si="384">HYPERLINK("http://twitter.com/download/android","Twitter for Android")</f>
        <v>Twitter for Android</v>
      </c>
      <c r="L2264" s="13">
        <v>443</v>
      </c>
      <c r="M2264" s="13">
        <v>831</v>
      </c>
      <c r="N2264" s="13">
        <v>1</v>
      </c>
      <c r="O2264" s="15"/>
      <c r="P2264" s="6">
        <v>41299.983310185184</v>
      </c>
      <c r="Q2264" s="11"/>
      <c r="R2264" s="17"/>
      <c r="S2264" s="11"/>
      <c r="T2264" s="11"/>
      <c r="U2264" s="10" t="str">
        <f>HYPERLINK("https://pbs.twimg.com/profile_images/3171067429/47937b36ca98570eb1f9f6e5ed055255.jpeg","View")</f>
        <v>View</v>
      </c>
    </row>
    <row r="2265" spans="1:21" ht="30.6">
      <c r="A2265" s="6">
        <v>43440.851041666669</v>
      </c>
      <c r="B2265" s="7" t="str">
        <f>HYPERLINK("https://twitter.com/bersekers75","@bersekers75")</f>
        <v>@bersekers75</v>
      </c>
      <c r="C2265" s="8" t="s">
        <v>4574</v>
      </c>
      <c r="D2265" s="9" t="s">
        <v>4575</v>
      </c>
      <c r="E2265" s="10" t="str">
        <f>HYPERLINK("https://twitter.com/bersekers75/status/1070761168019574785","1070761168019574785")</f>
        <v>1070761168019574785</v>
      </c>
      <c r="F2265" s="11"/>
      <c r="G2265" s="11"/>
      <c r="H2265" s="11"/>
      <c r="I2265" s="13">
        <v>2</v>
      </c>
      <c r="J2265" s="13">
        <v>14</v>
      </c>
      <c r="K2265" s="14" t="str">
        <f t="shared" si="384"/>
        <v>Twitter for Android</v>
      </c>
      <c r="L2265" s="13">
        <v>1367</v>
      </c>
      <c r="M2265" s="13">
        <v>583</v>
      </c>
      <c r="N2265" s="13">
        <v>4</v>
      </c>
      <c r="O2265" s="15"/>
      <c r="P2265" s="6">
        <v>41479.90347222222</v>
      </c>
      <c r="Q2265" s="18" t="s">
        <v>4576</v>
      </c>
      <c r="R2265" s="19" t="s">
        <v>4577</v>
      </c>
      <c r="S2265" s="11"/>
      <c r="T2265" s="11"/>
      <c r="U2265" s="10" t="str">
        <f>HYPERLINK("https://pbs.twimg.com/profile_images/904752949225762818/bSABc1kM.jpg","View")</f>
        <v>View</v>
      </c>
    </row>
    <row r="2266" spans="1:21" ht="40.799999999999997">
      <c r="A2266" s="6">
        <v>43440.84993055556</v>
      </c>
      <c r="B2266" s="7" t="str">
        <f>HYPERLINK("https://twitter.com/Jmanud","@Jmanud")</f>
        <v>@Jmanud</v>
      </c>
      <c r="C2266" s="8" t="s">
        <v>2331</v>
      </c>
      <c r="D2266" s="9" t="s">
        <v>4578</v>
      </c>
      <c r="E2266" s="10" t="str">
        <f>HYPERLINK("https://twitter.com/Jmanud/status/1070760763156037639","1070760763156037639")</f>
        <v>1070760763156037639</v>
      </c>
      <c r="F2266" s="11"/>
      <c r="G2266" s="12" t="s">
        <v>4579</v>
      </c>
      <c r="H2266" s="11"/>
      <c r="I2266" s="13">
        <v>14</v>
      </c>
      <c r="J2266" s="13">
        <v>15</v>
      </c>
      <c r="K2266" s="14" t="str">
        <f>HYPERLINK("http://twitter.com/download/iphone","Twitter for iPhone")</f>
        <v>Twitter for iPhone</v>
      </c>
      <c r="L2266" s="13">
        <v>2611</v>
      </c>
      <c r="M2266" s="13">
        <v>245</v>
      </c>
      <c r="N2266" s="13">
        <v>19</v>
      </c>
      <c r="O2266" s="15"/>
      <c r="P2266" s="6">
        <v>40757.556469907409</v>
      </c>
      <c r="Q2266" s="18" t="s">
        <v>260</v>
      </c>
      <c r="R2266" s="19" t="s">
        <v>2337</v>
      </c>
      <c r="S2266" s="11"/>
      <c r="T2266" s="11"/>
      <c r="U2266" s="10" t="str">
        <f>HYPERLINK("https://pbs.twimg.com/profile_images/931676655998947329/rsRdADto.jpg","View")</f>
        <v>View</v>
      </c>
    </row>
    <row r="2267" spans="1:21" ht="20.399999999999999">
      <c r="A2267" s="6">
        <v>43440.849722222221</v>
      </c>
      <c r="B2267" s="7" t="str">
        <f>HYPERLINK("https://twitter.com/MANALVAN","@MANALVAN")</f>
        <v>@MANALVAN</v>
      </c>
      <c r="C2267" s="8" t="s">
        <v>7594</v>
      </c>
      <c r="D2267" s="9" t="s">
        <v>4568</v>
      </c>
      <c r="E2267" s="10" t="str">
        <f>HYPERLINK("https://twitter.com/MANALVAN/status/1070760687176163334","1070760687176163334")</f>
        <v>1070760687176163334</v>
      </c>
      <c r="F2267" s="12" t="s">
        <v>4569</v>
      </c>
      <c r="G2267" s="11"/>
      <c r="H2267" s="11"/>
      <c r="I2267" s="13">
        <v>0</v>
      </c>
      <c r="J2267" s="13">
        <v>0</v>
      </c>
      <c r="K2267" s="14" t="str">
        <f>HYPERLINK("http://twitter.com","Twitter Web Client")</f>
        <v>Twitter Web Client</v>
      </c>
      <c r="L2267" s="13">
        <v>578</v>
      </c>
      <c r="M2267" s="13">
        <v>1274</v>
      </c>
      <c r="N2267" s="13">
        <v>27</v>
      </c>
      <c r="O2267" s="15"/>
      <c r="P2267" s="6">
        <v>40576.990451388891</v>
      </c>
      <c r="Q2267" s="18" t="s">
        <v>1430</v>
      </c>
      <c r="R2267" s="17"/>
      <c r="S2267" s="11"/>
      <c r="T2267" s="11"/>
      <c r="U2267" s="10" t="str">
        <f>HYPERLINK("https://pbs.twimg.com/profile_images/1071000900569886721/KMBy9Xpr.jpg","View")</f>
        <v>View</v>
      </c>
    </row>
    <row r="2268" spans="1:21" ht="20.399999999999999">
      <c r="A2268" s="6">
        <v>43440.849687499998</v>
      </c>
      <c r="B2268" s="7" t="str">
        <f>HYPERLINK("https://twitter.com/qqqqetru","@qqqqetru")</f>
        <v>@qqqqetru</v>
      </c>
      <c r="C2268" s="8" t="s">
        <v>127</v>
      </c>
      <c r="D2268" s="9" t="s">
        <v>7595</v>
      </c>
      <c r="E2268" s="10" t="str">
        <f>HYPERLINK("https://twitter.com/qqqqetru/status/1070760677021810695","1070760677021810695")</f>
        <v>1070760677021810695</v>
      </c>
      <c r="F2268" s="12" t="s">
        <v>6402</v>
      </c>
      <c r="G2268" s="11"/>
      <c r="H2268" s="11"/>
      <c r="I2268" s="13">
        <v>0</v>
      </c>
      <c r="J2268" s="13">
        <v>0</v>
      </c>
      <c r="K2268" s="14" t="str">
        <f t="shared" ref="K2268:K2269" si="385">HYPERLINK("http://twitter.com/download/android","Twitter for Android")</f>
        <v>Twitter for Android</v>
      </c>
      <c r="L2268" s="13">
        <v>649</v>
      </c>
      <c r="M2268" s="13">
        <v>1194</v>
      </c>
      <c r="N2268" s="13">
        <v>2</v>
      </c>
      <c r="O2268" s="15"/>
      <c r="P2268" s="6">
        <v>40749.437719907408</v>
      </c>
      <c r="Q2268" s="11"/>
      <c r="R2268" s="17"/>
      <c r="S2268" s="11"/>
      <c r="T2268" s="11"/>
      <c r="U2268" s="10" t="str">
        <f>HYPERLINK("https://pbs.twimg.com/profile_images/1069734331780870144/d_KYpBFy.jpg","View")</f>
        <v>View</v>
      </c>
    </row>
    <row r="2269" spans="1:21" ht="102">
      <c r="A2269" s="6">
        <v>43440.849525462967</v>
      </c>
      <c r="B2269" s="7" t="str">
        <f>HYPERLINK("https://twitter.com/Jolu1970Jose","@Jolu1970Jose")</f>
        <v>@Jolu1970Jose</v>
      </c>
      <c r="C2269" s="8" t="s">
        <v>4582</v>
      </c>
      <c r="D2269" s="9" t="s">
        <v>4583</v>
      </c>
      <c r="E2269" s="10" t="str">
        <f>HYPERLINK("https://twitter.com/Jolu1970Jose/status/1070760618037297152","1070760618037297152")</f>
        <v>1070760618037297152</v>
      </c>
      <c r="F2269" s="12" t="s">
        <v>4585</v>
      </c>
      <c r="G2269" s="12" t="s">
        <v>4586</v>
      </c>
      <c r="H2269" s="11"/>
      <c r="I2269" s="13">
        <v>0</v>
      </c>
      <c r="J2269" s="13">
        <v>0</v>
      </c>
      <c r="K2269" s="14" t="str">
        <f t="shared" si="385"/>
        <v>Twitter for Android</v>
      </c>
      <c r="L2269" s="13">
        <v>2418</v>
      </c>
      <c r="M2269" s="13">
        <v>2578</v>
      </c>
      <c r="N2269" s="13">
        <v>22</v>
      </c>
      <c r="O2269" s="15"/>
      <c r="P2269" s="6">
        <v>40681.964178240742</v>
      </c>
      <c r="Q2269" s="11"/>
      <c r="R2269" s="19" t="s">
        <v>4587</v>
      </c>
      <c r="S2269" s="11"/>
      <c r="T2269" s="11"/>
      <c r="U2269" s="10" t="str">
        <f>HYPERLINK("https://pbs.twimg.com/profile_images/997194518444175360/dnaJJ08L.jpg","View")</f>
        <v>View</v>
      </c>
    </row>
    <row r="2270" spans="1:21" ht="30.6">
      <c r="A2270" s="6">
        <v>43440.849421296298</v>
      </c>
      <c r="B2270" s="7" t="str">
        <f>HYPERLINK("https://twitter.com/solutionsLab","@solutionsLab")</f>
        <v>@solutionsLab</v>
      </c>
      <c r="C2270" s="8" t="s">
        <v>5001</v>
      </c>
      <c r="D2270" s="9" t="s">
        <v>7596</v>
      </c>
      <c r="E2270" s="10" t="str">
        <f>HYPERLINK("https://twitter.com/solutionsLab/status/1070760577792917504","1070760577792917504")</f>
        <v>1070760577792917504</v>
      </c>
      <c r="F2270" s="12" t="s">
        <v>6689</v>
      </c>
      <c r="G2270" s="11"/>
      <c r="H2270" s="11"/>
      <c r="I2270" s="13">
        <v>0</v>
      </c>
      <c r="J2270" s="13">
        <v>0</v>
      </c>
      <c r="K2270" s="14" t="str">
        <f>HYPERLINK("http://www.facebook.com/twitter","Facebook")</f>
        <v>Facebook</v>
      </c>
      <c r="L2270" s="13">
        <v>240</v>
      </c>
      <c r="M2270" s="13">
        <v>481</v>
      </c>
      <c r="N2270" s="13">
        <v>94</v>
      </c>
      <c r="O2270" s="15"/>
      <c r="P2270" s="6">
        <v>40744.423298611109</v>
      </c>
      <c r="Q2270" s="18" t="s">
        <v>1708</v>
      </c>
      <c r="R2270" s="19" t="s">
        <v>5005</v>
      </c>
      <c r="S2270" s="12" t="s">
        <v>5006</v>
      </c>
      <c r="T2270" s="11"/>
      <c r="U2270" s="10" t="str">
        <f>HYPERLINK("https://pbs.twimg.com/profile_images/378800000792350418/cff62bae966ba232c06ba644158379a6.jpeg","View")</f>
        <v>View</v>
      </c>
    </row>
    <row r="2271" spans="1:21" ht="30.6">
      <c r="A2271" s="6">
        <v>43440.849282407406</v>
      </c>
      <c r="B2271" s="7" t="str">
        <f>HYPERLINK("https://twitter.com/xriusenoticies","@xriusenoticies")</f>
        <v>@xriusenoticies</v>
      </c>
      <c r="C2271" s="8" t="s">
        <v>4588</v>
      </c>
      <c r="D2271" s="9" t="s">
        <v>4589</v>
      </c>
      <c r="E2271" s="10" t="str">
        <f>HYPERLINK("https://twitter.com/xriusenoticies/status/1070760528962879488","1070760528962879488")</f>
        <v>1070760528962879488</v>
      </c>
      <c r="F2271" s="11"/>
      <c r="G2271" s="11"/>
      <c r="H2271" s="11"/>
      <c r="I2271" s="13">
        <v>7</v>
      </c>
      <c r="J2271" s="13">
        <v>41</v>
      </c>
      <c r="K2271" s="14" t="str">
        <f>HYPERLINK("http://twitter.com","Twitter Web Client")</f>
        <v>Twitter Web Client</v>
      </c>
      <c r="L2271" s="13">
        <v>21279</v>
      </c>
      <c r="M2271" s="13">
        <v>2829</v>
      </c>
      <c r="N2271" s="13">
        <v>490</v>
      </c>
      <c r="O2271" s="15"/>
      <c r="P2271" s="6">
        <v>40525.420578703706</v>
      </c>
      <c r="Q2271" s="18" t="s">
        <v>4590</v>
      </c>
      <c r="R2271" s="19" t="s">
        <v>4591</v>
      </c>
      <c r="S2271" s="12" t="s">
        <v>4592</v>
      </c>
      <c r="T2271" s="11"/>
      <c r="U2271" s="10" t="str">
        <f>HYPERLINK("https://pbs.twimg.com/profile_images/861974833424465920/H7clH0yA.jpg","View")</f>
        <v>View</v>
      </c>
    </row>
    <row r="2272" spans="1:21" ht="71.400000000000006">
      <c r="A2272" s="6">
        <v>43440.849247685182</v>
      </c>
      <c r="B2272" s="7" t="str">
        <f>HYPERLINK("https://twitter.com/mari59carmen","@mari59carmen")</f>
        <v>@mari59carmen</v>
      </c>
      <c r="C2272" s="8" t="s">
        <v>7597</v>
      </c>
      <c r="D2272" s="9" t="s">
        <v>7598</v>
      </c>
      <c r="E2272" s="10" t="str">
        <f>HYPERLINK("https://twitter.com/mari59carmen/status/1070760516614844418","1070760516614844418")</f>
        <v>1070760516614844418</v>
      </c>
      <c r="F2272" s="18" t="s">
        <v>3442</v>
      </c>
      <c r="G2272" s="11"/>
      <c r="H2272" s="11"/>
      <c r="I2272" s="13">
        <v>0</v>
      </c>
      <c r="J2272" s="13">
        <v>0</v>
      </c>
      <c r="K2272" s="14" t="str">
        <f>HYPERLINK("http://twitter.com/download/android","Twitter for Android")</f>
        <v>Twitter for Android</v>
      </c>
      <c r="L2272" s="13">
        <v>70</v>
      </c>
      <c r="M2272" s="13">
        <v>104</v>
      </c>
      <c r="N2272" s="13">
        <v>0</v>
      </c>
      <c r="O2272" s="15"/>
      <c r="P2272" s="6">
        <v>43012.592986111107</v>
      </c>
      <c r="Q2272" s="11"/>
      <c r="R2272" s="19" t="s">
        <v>7599</v>
      </c>
      <c r="S2272" s="11"/>
      <c r="T2272" s="11"/>
      <c r="U2272" s="10" t="str">
        <f>HYPERLINK("https://pbs.twimg.com/profile_images/915555847480266752/Ivy4PIjk.jpg","View")</f>
        <v>View</v>
      </c>
    </row>
    <row r="2273" spans="1:21" ht="20.399999999999999">
      <c r="A2273" s="6">
        <v>43440.848483796297</v>
      </c>
      <c r="B2273" s="7" t="str">
        <f>HYPERLINK("https://twitter.com/SilLlejoc","@SilLlejoc")</f>
        <v>@SilLlejoc</v>
      </c>
      <c r="C2273" s="8" t="s">
        <v>7600</v>
      </c>
      <c r="D2273" s="9" t="s">
        <v>6663</v>
      </c>
      <c r="E2273" s="10" t="str">
        <f>HYPERLINK("https://twitter.com/SilLlejoc/status/1070760240466026497","1070760240466026497")</f>
        <v>1070760240466026497</v>
      </c>
      <c r="F2273" s="12" t="s">
        <v>6664</v>
      </c>
      <c r="G2273" s="11"/>
      <c r="H2273" s="11"/>
      <c r="I2273" s="13">
        <v>0</v>
      </c>
      <c r="J2273" s="13">
        <v>0</v>
      </c>
      <c r="K2273" s="14" t="str">
        <f>HYPERLINK("http://twitter.com","Twitter Web Client")</f>
        <v>Twitter Web Client</v>
      </c>
      <c r="L2273" s="13">
        <v>952</v>
      </c>
      <c r="M2273" s="13">
        <v>1243</v>
      </c>
      <c r="N2273" s="13">
        <v>0</v>
      </c>
      <c r="O2273" s="15"/>
      <c r="P2273" s="6">
        <v>43140.403715277775</v>
      </c>
      <c r="Q2273" s="11"/>
      <c r="R2273" s="19" t="s">
        <v>7601</v>
      </c>
      <c r="S2273" s="11"/>
      <c r="T2273" s="11"/>
      <c r="U2273" s="10" t="str">
        <f>HYPERLINK("https://pbs.twimg.com/profile_images/1059080685426753538/XnJR1sYH.jpg","View")</f>
        <v>View</v>
      </c>
    </row>
    <row r="2274" spans="1:21" ht="30.6">
      <c r="A2274" s="6">
        <v>43440.848136574074</v>
      </c>
      <c r="B2274" s="7" t="str">
        <f>HYPERLINK("https://twitter.com/CamelMa84364269","@CamelMa84364269")</f>
        <v>@CamelMa84364269</v>
      </c>
      <c r="C2274" s="8" t="s">
        <v>7602</v>
      </c>
      <c r="D2274" s="9" t="s">
        <v>7603</v>
      </c>
      <c r="E2274" s="10" t="str">
        <f>HYPERLINK("https://twitter.com/CamelMa84364269/status/1070760112988585984","1070760112988585984")</f>
        <v>1070760112988585984</v>
      </c>
      <c r="F2274" s="11"/>
      <c r="G2274" s="11"/>
      <c r="H2274" s="11"/>
      <c r="I2274" s="13">
        <v>0</v>
      </c>
      <c r="J2274" s="13">
        <v>1</v>
      </c>
      <c r="K2274" s="14" t="str">
        <f>HYPERLINK("http://twitter.com/download/android","Twitter for Android")</f>
        <v>Twitter for Android</v>
      </c>
      <c r="L2274" s="13">
        <v>21</v>
      </c>
      <c r="M2274" s="13">
        <v>91</v>
      </c>
      <c r="N2274" s="13">
        <v>0</v>
      </c>
      <c r="O2274" s="15"/>
      <c r="P2274" s="6">
        <v>43422.579942129625</v>
      </c>
      <c r="Q2274" s="11"/>
      <c r="R2274" s="17"/>
      <c r="S2274" s="11"/>
      <c r="T2274" s="11"/>
      <c r="U2274" s="10" t="str">
        <f>HYPERLINK("https://pbs.twimg.com/profile_images/1064828275938209792/ClY1YnlD.jpg","View")</f>
        <v>View</v>
      </c>
    </row>
    <row r="2275" spans="1:21" ht="51">
      <c r="A2275" s="6">
        <v>43440.848020833335</v>
      </c>
      <c r="B2275" s="7" t="str">
        <f>HYPERLINK("https://twitter.com/Cal_loJesu","@Cal_loJesu")</f>
        <v>@Cal_loJesu</v>
      </c>
      <c r="C2275" s="8" t="s">
        <v>2415</v>
      </c>
      <c r="D2275" s="9" t="s">
        <v>4593</v>
      </c>
      <c r="E2275" s="10" t="str">
        <f>HYPERLINK("https://twitter.com/Cal_loJesu/status/1070760073104904192","1070760073104904192")</f>
        <v>1070760073104904192</v>
      </c>
      <c r="F2275" s="18" t="s">
        <v>4594</v>
      </c>
      <c r="G2275" s="11"/>
      <c r="H2275" s="11"/>
      <c r="I2275" s="13">
        <v>0</v>
      </c>
      <c r="J2275" s="13">
        <v>0</v>
      </c>
      <c r="K2275" s="14" t="str">
        <f>HYPERLINK("http://twitter.com/#!/download/ipad","Twitter for iPad")</f>
        <v>Twitter for iPad</v>
      </c>
      <c r="L2275" s="13">
        <v>139</v>
      </c>
      <c r="M2275" s="13">
        <v>419</v>
      </c>
      <c r="N2275" s="13">
        <v>0</v>
      </c>
      <c r="O2275" s="15"/>
      <c r="P2275" s="6">
        <v>43043.51457175926</v>
      </c>
      <c r="Q2275" s="18" t="s">
        <v>671</v>
      </c>
      <c r="R2275" s="19" t="s">
        <v>2421</v>
      </c>
      <c r="S2275" s="11"/>
      <c r="T2275" s="11"/>
      <c r="U2275" s="10" t="str">
        <f>HYPERLINK("https://pbs.twimg.com/profile_images/926773652275609600/PKbmGqG5.jpg","View")</f>
        <v>View</v>
      </c>
    </row>
    <row r="2276" spans="1:21" ht="71.400000000000006">
      <c r="A2276" s="6">
        <v>43440.847719907411</v>
      </c>
      <c r="B2276" s="7" t="str">
        <f>HYPERLINK("https://twitter.com/Julia75990331","@Julia75990331")</f>
        <v>@Julia75990331</v>
      </c>
      <c r="C2276" s="8" t="s">
        <v>1256</v>
      </c>
      <c r="D2276" s="9" t="s">
        <v>4595</v>
      </c>
      <c r="E2276" s="10" t="str">
        <f>HYPERLINK("https://twitter.com/Julia75990331/status/1070759960840232960","1070759960840232960")</f>
        <v>1070759960840232960</v>
      </c>
      <c r="F2276" s="12" t="s">
        <v>3251</v>
      </c>
      <c r="G2276" s="12" t="s">
        <v>3252</v>
      </c>
      <c r="H2276" s="11"/>
      <c r="I2276" s="13">
        <v>0</v>
      </c>
      <c r="J2276" s="13">
        <v>0</v>
      </c>
      <c r="K2276" s="14" t="str">
        <f>HYPERLINK("http://twitter.com/download/android","Twitter for Android")</f>
        <v>Twitter for Android</v>
      </c>
      <c r="L2276" s="13">
        <v>695</v>
      </c>
      <c r="M2276" s="13">
        <v>960</v>
      </c>
      <c r="N2276" s="13">
        <v>0</v>
      </c>
      <c r="O2276" s="15"/>
      <c r="P2276" s="6">
        <v>43377.642314814817</v>
      </c>
      <c r="Q2276" s="11"/>
      <c r="R2276" s="19" t="s">
        <v>1259</v>
      </c>
      <c r="S2276" s="11"/>
      <c r="T2276" s="11"/>
      <c r="U2276" s="10" t="str">
        <f>HYPERLINK("https://pbs.twimg.com/profile_images/1051971899109113857/Lnj9d5gj.jpg","View")</f>
        <v>View</v>
      </c>
    </row>
    <row r="2277" spans="1:21" ht="20.399999999999999">
      <c r="A2277" s="6">
        <v>43440.847581018519</v>
      </c>
      <c r="B2277" s="7" t="str">
        <f>HYPERLINK("https://twitter.com/jwanlu","@jwanlu")</f>
        <v>@jwanlu</v>
      </c>
      <c r="C2277" s="8" t="s">
        <v>7604</v>
      </c>
      <c r="D2277" s="9" t="s">
        <v>7605</v>
      </c>
      <c r="E2277" s="10" t="str">
        <f>HYPERLINK("https://twitter.com/jwanlu/status/1070759911397748736","1070759911397748736")</f>
        <v>1070759911397748736</v>
      </c>
      <c r="F2277" s="12" t="s">
        <v>7606</v>
      </c>
      <c r="G2277" s="11"/>
      <c r="H2277" s="11"/>
      <c r="I2277" s="13">
        <v>0</v>
      </c>
      <c r="J2277" s="13">
        <v>0</v>
      </c>
      <c r="K2277" s="14" t="str">
        <f>HYPERLINK("https://www.google.com/","Google")</f>
        <v>Google</v>
      </c>
      <c r="L2277" s="13">
        <v>44</v>
      </c>
      <c r="M2277" s="13">
        <v>132</v>
      </c>
      <c r="N2277" s="13">
        <v>0</v>
      </c>
      <c r="O2277" s="15"/>
      <c r="P2277" s="6">
        <v>39981.054722222223</v>
      </c>
      <c r="Q2277" s="18" t="s">
        <v>7607</v>
      </c>
      <c r="R2277" s="17"/>
      <c r="S2277" s="11"/>
      <c r="T2277" s="11"/>
      <c r="U2277" s="10" t="str">
        <f>HYPERLINK("https://pbs.twimg.com/profile_images/3148706504/115f4066d0ffe9222d57eb1e6d79d464.jpeg","View")</f>
        <v>View</v>
      </c>
    </row>
    <row r="2278" spans="1:21" ht="40.799999999999997">
      <c r="A2278" s="6">
        <v>43440.84746527778</v>
      </c>
      <c r="B2278" s="7" t="str">
        <f>HYPERLINK("https://twitter.com/AEscolano45","@AEscolano45")</f>
        <v>@AEscolano45</v>
      </c>
      <c r="C2278" s="8" t="s">
        <v>6566</v>
      </c>
      <c r="D2278" s="9" t="s">
        <v>7608</v>
      </c>
      <c r="E2278" s="10" t="str">
        <f>HYPERLINK("https://twitter.com/AEscolano45/status/1070759869228175360","1070759869228175360")</f>
        <v>1070759869228175360</v>
      </c>
      <c r="F2278" s="12" t="s">
        <v>7609</v>
      </c>
      <c r="G2278" s="11"/>
      <c r="H2278" s="11"/>
      <c r="I2278" s="13">
        <v>2</v>
      </c>
      <c r="J2278" s="13">
        <v>1</v>
      </c>
      <c r="K2278" s="14" t="str">
        <f>HYPERLINK("http://twitter.com/download/android","Twitter for Android")</f>
        <v>Twitter for Android</v>
      </c>
      <c r="L2278" s="13">
        <v>263</v>
      </c>
      <c r="M2278" s="13">
        <v>233</v>
      </c>
      <c r="N2278" s="13">
        <v>1</v>
      </c>
      <c r="O2278" s="15"/>
      <c r="P2278" s="6">
        <v>41717.946157407408</v>
      </c>
      <c r="Q2278" s="18" t="s">
        <v>6568</v>
      </c>
      <c r="R2278" s="19" t="s">
        <v>6569</v>
      </c>
      <c r="S2278" s="11"/>
      <c r="T2278" s="11"/>
      <c r="U2278" s="10" t="str">
        <f>HYPERLINK("https://pbs.twimg.com/profile_images/448432378537844738/yJike1aZ.jpeg","View")</f>
        <v>View</v>
      </c>
    </row>
    <row r="2279" spans="1:21" ht="91.8">
      <c r="A2279" s="6">
        <v>43440.847326388888</v>
      </c>
      <c r="B2279" s="7" t="str">
        <f>HYPERLINK("https://twitter.com/ruben_garcia11","@ruben_garcia11")</f>
        <v>@ruben_garcia11</v>
      </c>
      <c r="C2279" s="8" t="s">
        <v>4598</v>
      </c>
      <c r="D2279" s="9" t="s">
        <v>4599</v>
      </c>
      <c r="E2279" s="10" t="str">
        <f>HYPERLINK("https://twitter.com/ruben_garcia11/status/1070759818976219137","1070759818976219137")</f>
        <v>1070759818976219137</v>
      </c>
      <c r="F2279" s="12" t="s">
        <v>3074</v>
      </c>
      <c r="G2279" s="12" t="s">
        <v>3075</v>
      </c>
      <c r="H2279" s="11"/>
      <c r="I2279" s="13">
        <v>0</v>
      </c>
      <c r="J2279" s="13">
        <v>0</v>
      </c>
      <c r="K2279" s="14" t="str">
        <f>HYPERLINK("http://twitter.com/download/iphone","Twitter for iPhone")</f>
        <v>Twitter for iPhone</v>
      </c>
      <c r="L2279" s="13">
        <v>639</v>
      </c>
      <c r="M2279" s="13">
        <v>949</v>
      </c>
      <c r="N2279" s="13">
        <v>2</v>
      </c>
      <c r="O2279" s="15"/>
      <c r="P2279" s="6">
        <v>40952.729456018518</v>
      </c>
      <c r="Q2279" s="18" t="s">
        <v>42</v>
      </c>
      <c r="R2279" s="19" t="s">
        <v>4602</v>
      </c>
      <c r="S2279" s="11"/>
      <c r="T2279" s="11"/>
      <c r="U2279" s="10" t="str">
        <f>HYPERLINK("https://pbs.twimg.com/profile_images/989353890779926529/Z0VwnV5h.jpg","View")</f>
        <v>View</v>
      </c>
    </row>
    <row r="2280" spans="1:21" ht="51">
      <c r="A2280" s="6">
        <v>43440.847060185188</v>
      </c>
      <c r="B2280" s="7" t="str">
        <f>HYPERLINK("https://twitter.com/MaxiRockatansky","@MaxiRockatansky")</f>
        <v>@MaxiRockatansky</v>
      </c>
      <c r="C2280" s="8" t="s">
        <v>819</v>
      </c>
      <c r="D2280" s="9" t="s">
        <v>7610</v>
      </c>
      <c r="E2280" s="10" t="str">
        <f>HYPERLINK("https://twitter.com/MaxiRockatansky/status/1070759721852985344","1070759721852985344")</f>
        <v>1070759721852985344</v>
      </c>
      <c r="F2280" s="11"/>
      <c r="G2280" s="11"/>
      <c r="H2280" s="11"/>
      <c r="I2280" s="13">
        <v>0</v>
      </c>
      <c r="J2280" s="13">
        <v>0</v>
      </c>
      <c r="K2280" s="14" t="str">
        <f t="shared" ref="K2280:K2281" si="386">HYPERLINK("http://twitter.com","Twitter Web Client")</f>
        <v>Twitter Web Client</v>
      </c>
      <c r="L2280" s="13">
        <v>15</v>
      </c>
      <c r="M2280" s="13">
        <v>84</v>
      </c>
      <c r="N2280" s="13">
        <v>0</v>
      </c>
      <c r="O2280" s="15"/>
      <c r="P2280" s="6">
        <v>43281.819606481484</v>
      </c>
      <c r="Q2280" s="18" t="s">
        <v>821</v>
      </c>
      <c r="R2280" s="19" t="s">
        <v>822</v>
      </c>
      <c r="S2280" s="11"/>
      <c r="T2280" s="11"/>
      <c r="U2280" s="10" t="str">
        <f>HYPERLINK("https://pbs.twimg.com/profile_images/1018973970018832384/KHva7ghs.jpg","View")</f>
        <v>View</v>
      </c>
    </row>
    <row r="2281" spans="1:21" ht="20.399999999999999">
      <c r="A2281" s="6">
        <v>43440.846851851849</v>
      </c>
      <c r="B2281" s="7" t="str">
        <f>HYPERLINK("https://twitter.com/CAUTEXA","@CAUTEXA")</f>
        <v>@CAUTEXA</v>
      </c>
      <c r="C2281" s="8" t="s">
        <v>7548</v>
      </c>
      <c r="D2281" s="9" t="s">
        <v>6951</v>
      </c>
      <c r="E2281" s="10" t="str">
        <f>HYPERLINK("https://twitter.com/CAUTEXA/status/1070759649580851200","1070759649580851200")</f>
        <v>1070759649580851200</v>
      </c>
      <c r="F2281" s="12" t="s">
        <v>7611</v>
      </c>
      <c r="G2281" s="11"/>
      <c r="H2281" s="11"/>
      <c r="I2281" s="13">
        <v>0</v>
      </c>
      <c r="J2281" s="13">
        <v>0</v>
      </c>
      <c r="K2281" s="14" t="str">
        <f t="shared" si="386"/>
        <v>Twitter Web Client</v>
      </c>
      <c r="L2281" s="13">
        <v>103</v>
      </c>
      <c r="M2281" s="13">
        <v>266</v>
      </c>
      <c r="N2281" s="13">
        <v>1</v>
      </c>
      <c r="O2281" s="15"/>
      <c r="P2281" s="6">
        <v>40532.002060185187</v>
      </c>
      <c r="Q2281" s="18" t="s">
        <v>1430</v>
      </c>
      <c r="R2281" s="17"/>
      <c r="S2281" s="11"/>
      <c r="T2281" s="11"/>
      <c r="U2281" s="10" t="str">
        <f>HYPERLINK("https://pbs.twimg.com/profile_images/1834253769/MGA.jpg","View")</f>
        <v>View</v>
      </c>
    </row>
    <row r="2282" spans="1:21" ht="61.2">
      <c r="A2282" s="6">
        <v>43440.846689814818</v>
      </c>
      <c r="B2282" s="7" t="str">
        <f>HYPERLINK("https://twitter.com/lechuzeta","@lechuzeta")</f>
        <v>@lechuzeta</v>
      </c>
      <c r="C2282" s="8" t="s">
        <v>2795</v>
      </c>
      <c r="D2282" s="9" t="s">
        <v>2796</v>
      </c>
      <c r="E2282" s="10" t="str">
        <f>HYPERLINK("https://twitter.com/lechuzeta/status/1070759589078024192","1070759589078024192")</f>
        <v>1070759589078024192</v>
      </c>
      <c r="F2282" s="11"/>
      <c r="G2282" s="12" t="s">
        <v>4603</v>
      </c>
      <c r="H2282" s="11"/>
      <c r="I2282" s="13">
        <v>4</v>
      </c>
      <c r="J2282" s="13">
        <v>3</v>
      </c>
      <c r="K2282" s="14" t="str">
        <f t="shared" ref="K2282:K2284" si="387">HYPERLINK("http://twitter.com/download/android","Twitter for Android")</f>
        <v>Twitter for Android</v>
      </c>
      <c r="L2282" s="13">
        <v>2581</v>
      </c>
      <c r="M2282" s="13">
        <v>3292</v>
      </c>
      <c r="N2282" s="13">
        <v>47</v>
      </c>
      <c r="O2282" s="15"/>
      <c r="P2282" s="6">
        <v>41869.697245370371</v>
      </c>
      <c r="Q2282" s="18" t="s">
        <v>2798</v>
      </c>
      <c r="R2282" s="19" t="s">
        <v>2799</v>
      </c>
      <c r="S2282" s="12" t="s">
        <v>2800</v>
      </c>
      <c r="T2282" s="11"/>
      <c r="U2282" s="10" t="str">
        <f>HYPERLINK("https://pbs.twimg.com/profile_images/501385939197771776/wuK0x4a9.jpeg","View")</f>
        <v>View</v>
      </c>
    </row>
    <row r="2283" spans="1:21" ht="51">
      <c r="A2283" s="6">
        <v>43440.846435185187</v>
      </c>
      <c r="B2283" s="7" t="str">
        <f>HYPERLINK("https://twitter.com/JAVIERCHAVESFL2","@JAVIERCHAVESFL2")</f>
        <v>@JAVIERCHAVESFL2</v>
      </c>
      <c r="C2283" s="8" t="s">
        <v>7612</v>
      </c>
      <c r="D2283" s="9" t="s">
        <v>7613</v>
      </c>
      <c r="E2283" s="10" t="str">
        <f>HYPERLINK("https://twitter.com/JAVIERCHAVESFL2/status/1070759496950145025","1070759496950145025")</f>
        <v>1070759496950145025</v>
      </c>
      <c r="F2283" s="11"/>
      <c r="G2283" s="11"/>
      <c r="H2283" s="11"/>
      <c r="I2283" s="13">
        <v>0</v>
      </c>
      <c r="J2283" s="13">
        <v>0</v>
      </c>
      <c r="K2283" s="14" t="str">
        <f t="shared" si="387"/>
        <v>Twitter for Android</v>
      </c>
      <c r="L2283" s="13">
        <v>20</v>
      </c>
      <c r="M2283" s="13">
        <v>136</v>
      </c>
      <c r="N2283" s="13">
        <v>0</v>
      </c>
      <c r="O2283" s="15"/>
      <c r="P2283" s="6">
        <v>43360.925057870365</v>
      </c>
      <c r="Q2283" s="18" t="s">
        <v>42</v>
      </c>
      <c r="R2283" s="19" t="s">
        <v>7614</v>
      </c>
      <c r="S2283" s="11"/>
      <c r="T2283" s="11"/>
      <c r="U2283" s="10" t="str">
        <f>HYPERLINK("https://pbs.twimg.com/profile_images/1070738822806323202/P8yaGIMN.jpg","View")</f>
        <v>View</v>
      </c>
    </row>
    <row r="2284" spans="1:21" ht="51">
      <c r="A2284" s="6">
        <v>43440.845023148147</v>
      </c>
      <c r="B2284" s="7" t="str">
        <f>HYPERLINK("https://twitter.com/qqqqetru","@qqqqetru")</f>
        <v>@qqqqetru</v>
      </c>
      <c r="C2284" s="8" t="s">
        <v>127</v>
      </c>
      <c r="D2284" s="9" t="s">
        <v>7615</v>
      </c>
      <c r="E2284" s="10" t="str">
        <f>HYPERLINK("https://twitter.com/qqqqetru/status/1070758985408659456","1070758985408659456")</f>
        <v>1070758985408659456</v>
      </c>
      <c r="F2284" s="11"/>
      <c r="G2284" s="12" t="s">
        <v>7616</v>
      </c>
      <c r="H2284" s="11"/>
      <c r="I2284" s="13">
        <v>3</v>
      </c>
      <c r="J2284" s="13">
        <v>4</v>
      </c>
      <c r="K2284" s="14" t="str">
        <f t="shared" si="387"/>
        <v>Twitter for Android</v>
      </c>
      <c r="L2284" s="13">
        <v>649</v>
      </c>
      <c r="M2284" s="13">
        <v>1194</v>
      </c>
      <c r="N2284" s="13">
        <v>2</v>
      </c>
      <c r="O2284" s="15"/>
      <c r="P2284" s="6">
        <v>40749.437719907408</v>
      </c>
      <c r="Q2284" s="11"/>
      <c r="R2284" s="17"/>
      <c r="S2284" s="11"/>
      <c r="T2284" s="11"/>
      <c r="U2284" s="10" t="str">
        <f>HYPERLINK("https://pbs.twimg.com/profile_images/1069734331780870144/d_KYpBFy.jpg","View")</f>
        <v>View</v>
      </c>
    </row>
    <row r="2285" spans="1:21" ht="30.6">
      <c r="A2285" s="6">
        <v>43440.844652777778</v>
      </c>
      <c r="B2285" s="7" t="str">
        <f>HYPERLINK("https://twitter.com/gaab75","@gaab75")</f>
        <v>@gaab75</v>
      </c>
      <c r="C2285" s="8" t="s">
        <v>4710</v>
      </c>
      <c r="D2285" s="9" t="s">
        <v>7617</v>
      </c>
      <c r="E2285" s="10" t="str">
        <f>HYPERLINK("https://twitter.com/gaab75/status/1070758852851888129","1070758852851888129")</f>
        <v>1070758852851888129</v>
      </c>
      <c r="F2285" s="11"/>
      <c r="G2285" s="11"/>
      <c r="H2285" s="11"/>
      <c r="I2285" s="13">
        <v>1</v>
      </c>
      <c r="J2285" s="13">
        <v>1</v>
      </c>
      <c r="K2285" s="14" t="str">
        <f>HYPERLINK("http://twitter.com","Twitter Web Client")</f>
        <v>Twitter Web Client</v>
      </c>
      <c r="L2285" s="13">
        <v>3602</v>
      </c>
      <c r="M2285" s="13">
        <v>1550</v>
      </c>
      <c r="N2285" s="13">
        <v>98</v>
      </c>
      <c r="O2285" s="15"/>
      <c r="P2285" s="6">
        <v>40128.955196759256</v>
      </c>
      <c r="Q2285" s="18" t="s">
        <v>885</v>
      </c>
      <c r="R2285" s="19" t="s">
        <v>4712</v>
      </c>
      <c r="S2285" s="12" t="s">
        <v>4713</v>
      </c>
      <c r="T2285" s="11"/>
      <c r="U2285" s="10" t="str">
        <f>HYPERLINK("https://pbs.twimg.com/profile_images/958087622638948354/Nn7-v7sP.jpg","View")</f>
        <v>View</v>
      </c>
    </row>
    <row r="2286" spans="1:21" ht="51">
      <c r="A2286" s="6">
        <v>43440.844155092593</v>
      </c>
      <c r="B2286" s="7" t="str">
        <f>HYPERLINK("https://twitter.com/ignaciopozo","@ignaciopozo")</f>
        <v>@ignaciopozo</v>
      </c>
      <c r="C2286" s="8" t="s">
        <v>7618</v>
      </c>
      <c r="D2286" s="9" t="s">
        <v>7619</v>
      </c>
      <c r="E2286" s="10" t="str">
        <f>HYPERLINK("https://twitter.com/ignaciopozo/status/1070758671905406977","1070758671905406977")</f>
        <v>1070758671905406977</v>
      </c>
      <c r="F2286" s="11"/>
      <c r="G2286" s="12" t="s">
        <v>7620</v>
      </c>
      <c r="H2286" s="11"/>
      <c r="I2286" s="13">
        <v>1</v>
      </c>
      <c r="J2286" s="13">
        <v>1</v>
      </c>
      <c r="K2286" s="14" t="str">
        <f>HYPERLINK("http://twitter.com/download/iphone","Twitter for iPhone")</f>
        <v>Twitter for iPhone</v>
      </c>
      <c r="L2286" s="13">
        <v>868</v>
      </c>
      <c r="M2286" s="13">
        <v>830</v>
      </c>
      <c r="N2286" s="13">
        <v>6</v>
      </c>
      <c r="O2286" s="15"/>
      <c r="P2286" s="6">
        <v>40847.403437499997</v>
      </c>
      <c r="Q2286" s="18" t="s">
        <v>990</v>
      </c>
      <c r="R2286" s="19" t="s">
        <v>7621</v>
      </c>
      <c r="S2286" s="12" t="s">
        <v>7622</v>
      </c>
      <c r="T2286" s="11"/>
      <c r="U2286" s="10" t="str">
        <f>HYPERLINK("https://pbs.twimg.com/profile_images/767416451691057152/WaVRKTHy.jpg","View")</f>
        <v>View</v>
      </c>
    </row>
    <row r="2287" spans="1:21" ht="40.799999999999997">
      <c r="A2287" s="6">
        <v>43440.843229166669</v>
      </c>
      <c r="B2287" s="7" t="str">
        <f>HYPERLINK("https://twitter.com/PEPEROES1972","@PEPEROES1972")</f>
        <v>@PEPEROES1972</v>
      </c>
      <c r="C2287" s="8" t="s">
        <v>1520</v>
      </c>
      <c r="D2287" s="9" t="s">
        <v>3964</v>
      </c>
      <c r="E2287" s="10" t="str">
        <f>HYPERLINK("https://twitter.com/PEPEROES1972/status/1070758335182503936","1070758335182503936")</f>
        <v>1070758335182503936</v>
      </c>
      <c r="F2287" s="11"/>
      <c r="G2287" s="12" t="s">
        <v>4606</v>
      </c>
      <c r="H2287" s="11"/>
      <c r="I2287" s="13">
        <v>40</v>
      </c>
      <c r="J2287" s="13">
        <v>37</v>
      </c>
      <c r="K2287" s="14" t="str">
        <f>HYPERLINK("http://twitter.com","Twitter Web Client")</f>
        <v>Twitter Web Client</v>
      </c>
      <c r="L2287" s="13">
        <v>10546</v>
      </c>
      <c r="M2287" s="13">
        <v>5041</v>
      </c>
      <c r="N2287" s="13">
        <v>106</v>
      </c>
      <c r="O2287" s="15"/>
      <c r="P2287" s="6">
        <v>40456.570023148146</v>
      </c>
      <c r="Q2287" s="18" t="s">
        <v>1525</v>
      </c>
      <c r="R2287" s="19" t="s">
        <v>1527</v>
      </c>
      <c r="S2287" s="11"/>
      <c r="T2287" s="11"/>
      <c r="U2287" s="10" t="str">
        <f>HYPERLINK("https://pbs.twimg.com/profile_images/1015133506677207041/WIe3CQ1b.jpg","View")</f>
        <v>View</v>
      </c>
    </row>
    <row r="2288" spans="1:21" ht="20.399999999999999">
      <c r="A2288" s="6">
        <v>43440.842835648145</v>
      </c>
      <c r="B2288" s="7" t="str">
        <f>HYPERLINK("https://twitter.com/Gus__Vik","@Gus__Vik")</f>
        <v>@Gus__Vik</v>
      </c>
      <c r="C2288" s="8" t="s">
        <v>630</v>
      </c>
      <c r="D2288" s="9" t="s">
        <v>4608</v>
      </c>
      <c r="E2288" s="10" t="str">
        <f>HYPERLINK("https://twitter.com/Gus__Vik/status/1070758192626495489","1070758192626495489")</f>
        <v>1070758192626495489</v>
      </c>
      <c r="F2288" s="12" t="s">
        <v>3681</v>
      </c>
      <c r="G2288" s="12" t="s">
        <v>3682</v>
      </c>
      <c r="H2288" s="11"/>
      <c r="I2288" s="13">
        <v>0</v>
      </c>
      <c r="J2288" s="13">
        <v>2</v>
      </c>
      <c r="K2288" s="14" t="str">
        <f>HYPERLINK("http://twitter.com/download/android","Twitter for Android")</f>
        <v>Twitter for Android</v>
      </c>
      <c r="L2288" s="13">
        <v>1157</v>
      </c>
      <c r="M2288" s="13">
        <v>980</v>
      </c>
      <c r="N2288" s="13">
        <v>15</v>
      </c>
      <c r="O2288" s="15"/>
      <c r="P2288" s="6">
        <v>40666.461284722223</v>
      </c>
      <c r="Q2288" s="11"/>
      <c r="R2288" s="17"/>
      <c r="S2288" s="11"/>
      <c r="T2288" s="11"/>
      <c r="U2288" s="10" t="str">
        <f>HYPERLINK("https://pbs.twimg.com/profile_images/1060304776649433089/7Cnn7Jpp.jpg","View")</f>
        <v>View</v>
      </c>
    </row>
    <row r="2289" spans="1:21" ht="20.399999999999999">
      <c r="A2289" s="6">
        <v>43440.842824074076</v>
      </c>
      <c r="B2289" s="7" t="str">
        <f>HYPERLINK("https://twitter.com/ancin1977","@ancin1977")</f>
        <v>@ancin1977</v>
      </c>
      <c r="C2289" s="8" t="s">
        <v>7623</v>
      </c>
      <c r="D2289" s="9" t="s">
        <v>7624</v>
      </c>
      <c r="E2289" s="10" t="str">
        <f>HYPERLINK("https://twitter.com/ancin1977/status/1070758188532842496","1070758188532842496")</f>
        <v>1070758188532842496</v>
      </c>
      <c r="F2289" s="12" t="s">
        <v>7625</v>
      </c>
      <c r="G2289" s="11"/>
      <c r="H2289" s="11"/>
      <c r="I2289" s="13">
        <v>0</v>
      </c>
      <c r="J2289" s="13">
        <v>1</v>
      </c>
      <c r="K2289" s="14" t="str">
        <f t="shared" ref="K2289:K2290" si="388">HYPERLINK("http://twitter.com/download/iphone","Twitter for iPhone")</f>
        <v>Twitter for iPhone</v>
      </c>
      <c r="L2289" s="13">
        <v>379</v>
      </c>
      <c r="M2289" s="13">
        <v>0</v>
      </c>
      <c r="N2289" s="13">
        <v>1</v>
      </c>
      <c r="O2289" s="15"/>
      <c r="P2289" s="6">
        <v>43031.072488425925</v>
      </c>
      <c r="Q2289" s="18" t="s">
        <v>7626</v>
      </c>
      <c r="R2289" s="19" t="s">
        <v>7627</v>
      </c>
      <c r="S2289" s="12" t="s">
        <v>7628</v>
      </c>
      <c r="T2289" s="11"/>
      <c r="U2289" s="10" t="str">
        <f>HYPERLINK("https://pbs.twimg.com/profile_images/1056627535843418113/5Cb805zY.jpg","View")</f>
        <v>View</v>
      </c>
    </row>
    <row r="2290" spans="1:21" ht="40.799999999999997">
      <c r="A2290" s="6">
        <v>43440.842800925922</v>
      </c>
      <c r="B2290" s="7" t="str">
        <f>HYPERLINK("https://twitter.com/pildorarojamgzn","@pildorarojamgzn")</f>
        <v>@pildorarojamgzn</v>
      </c>
      <c r="C2290" s="8" t="s">
        <v>4612</v>
      </c>
      <c r="D2290" s="9" t="s">
        <v>4613</v>
      </c>
      <c r="E2290" s="10" t="str">
        <f>HYPERLINK("https://twitter.com/pildorarojamgzn/status/1070758181511593984","1070758181511593984")</f>
        <v>1070758181511593984</v>
      </c>
      <c r="F2290" s="11"/>
      <c r="G2290" s="12" t="s">
        <v>4614</v>
      </c>
      <c r="H2290" s="11"/>
      <c r="I2290" s="13">
        <v>4</v>
      </c>
      <c r="J2290" s="13">
        <v>12</v>
      </c>
      <c r="K2290" s="14" t="str">
        <f t="shared" si="388"/>
        <v>Twitter for iPhone</v>
      </c>
      <c r="L2290" s="13">
        <v>1940</v>
      </c>
      <c r="M2290" s="13">
        <v>238</v>
      </c>
      <c r="N2290" s="13">
        <v>11</v>
      </c>
      <c r="O2290" s="15"/>
      <c r="P2290" s="6">
        <v>43307.786238425921</v>
      </c>
      <c r="Q2290" s="11"/>
      <c r="R2290" s="19" t="s">
        <v>4615</v>
      </c>
      <c r="S2290" s="11"/>
      <c r="T2290" s="11"/>
      <c r="U2290" s="10" t="str">
        <f>HYPERLINK("https://pbs.twimg.com/profile_images/1055190891210698754/vqfSzbbj.jpg","View")</f>
        <v>View</v>
      </c>
    </row>
    <row r="2291" spans="1:21" ht="30.6">
      <c r="A2291" s="6">
        <v>43440.842685185184</v>
      </c>
      <c r="B2291" s="7" t="str">
        <f>HYPERLINK("https://twitter.com/ErManueTietar","@ErManueTietar")</f>
        <v>@ErManueTietar</v>
      </c>
      <c r="C2291" s="8" t="s">
        <v>4616</v>
      </c>
      <c r="D2291" s="9" t="s">
        <v>4617</v>
      </c>
      <c r="E2291" s="10" t="str">
        <f>HYPERLINK("https://twitter.com/ErManueTietar/status/1070758137295179776","1070758137295179776")</f>
        <v>1070758137295179776</v>
      </c>
      <c r="F2291" s="11"/>
      <c r="G2291" s="12" t="s">
        <v>4618</v>
      </c>
      <c r="H2291" s="11"/>
      <c r="I2291" s="13">
        <v>0</v>
      </c>
      <c r="J2291" s="13">
        <v>0</v>
      </c>
      <c r="K2291" s="14" t="str">
        <f t="shared" ref="K2291:K2292" si="389">HYPERLINK("http://twitter.com/download/android","Twitter for Android")</f>
        <v>Twitter for Android</v>
      </c>
      <c r="L2291" s="13">
        <v>2497</v>
      </c>
      <c r="M2291" s="13">
        <v>2407</v>
      </c>
      <c r="N2291" s="13">
        <v>21</v>
      </c>
      <c r="O2291" s="15"/>
      <c r="P2291" s="6">
        <v>41958.886076388888</v>
      </c>
      <c r="Q2291" s="18" t="s">
        <v>4619</v>
      </c>
      <c r="R2291" s="19" t="s">
        <v>4620</v>
      </c>
      <c r="S2291" s="11"/>
      <c r="T2291" s="11"/>
      <c r="U2291" s="10" t="str">
        <f>HYPERLINK("https://pbs.twimg.com/profile_images/1050797277453975552/dFLcgW2e.jpg","View")</f>
        <v>View</v>
      </c>
    </row>
    <row r="2292" spans="1:21" ht="20.399999999999999">
      <c r="A2292" s="6">
        <v>43440.841817129629</v>
      </c>
      <c r="B2292" s="7" t="str">
        <f>HYPERLINK("https://twitter.com/ManuelTorrente2","@ManuelTorrente2")</f>
        <v>@ManuelTorrente2</v>
      </c>
      <c r="C2292" s="8" t="s">
        <v>7629</v>
      </c>
      <c r="D2292" s="9" t="s">
        <v>6984</v>
      </c>
      <c r="E2292" s="10" t="str">
        <f>HYPERLINK("https://twitter.com/ManuelTorrente2/status/1070757821640249345","1070757821640249345")</f>
        <v>1070757821640249345</v>
      </c>
      <c r="F2292" s="12" t="s">
        <v>4680</v>
      </c>
      <c r="G2292" s="11"/>
      <c r="H2292" s="11"/>
      <c r="I2292" s="13">
        <v>0</v>
      </c>
      <c r="J2292" s="13">
        <v>0</v>
      </c>
      <c r="K2292" s="14" t="str">
        <f t="shared" si="389"/>
        <v>Twitter for Android</v>
      </c>
      <c r="L2292" s="13">
        <v>185</v>
      </c>
      <c r="M2292" s="13">
        <v>855</v>
      </c>
      <c r="N2292" s="13">
        <v>7</v>
      </c>
      <c r="O2292" s="15"/>
      <c r="P2292" s="6">
        <v>41195.83734953704</v>
      </c>
      <c r="Q2292" s="11"/>
      <c r="R2292" s="17"/>
      <c r="S2292" s="11"/>
      <c r="T2292" s="11"/>
      <c r="U2292" s="16" t="s">
        <v>191</v>
      </c>
    </row>
    <row r="2293" spans="1:21" ht="40.799999999999997">
      <c r="A2293" s="6">
        <v>43440.841585648144</v>
      </c>
      <c r="B2293" s="7" t="str">
        <f>HYPERLINK("https://twitter.com/godokoro","@godokoro")</f>
        <v>@godokoro</v>
      </c>
      <c r="C2293" s="8" t="s">
        <v>7630</v>
      </c>
      <c r="D2293" s="9" t="s">
        <v>7631</v>
      </c>
      <c r="E2293" s="10" t="str">
        <f>HYPERLINK("https://twitter.com/godokoro/status/1070757739759054849","1070757739759054849")</f>
        <v>1070757739759054849</v>
      </c>
      <c r="F2293" s="11"/>
      <c r="G2293" s="11"/>
      <c r="H2293" s="11"/>
      <c r="I2293" s="13">
        <v>0</v>
      </c>
      <c r="J2293" s="13">
        <v>0</v>
      </c>
      <c r="K2293" s="14" t="str">
        <f t="shared" ref="K2293:K2294" si="390">HYPERLINK("http://twitter.com","Twitter Web Client")</f>
        <v>Twitter Web Client</v>
      </c>
      <c r="L2293" s="13">
        <v>69</v>
      </c>
      <c r="M2293" s="13">
        <v>121</v>
      </c>
      <c r="N2293" s="13">
        <v>3</v>
      </c>
      <c r="O2293" s="15"/>
      <c r="P2293" s="6">
        <v>41916.934999999998</v>
      </c>
      <c r="Q2293" s="11"/>
      <c r="R2293" s="17"/>
      <c r="S2293" s="11"/>
      <c r="T2293" s="11"/>
      <c r="U2293" s="10" t="str">
        <f>HYPERLINK("https://pbs.twimg.com/profile_images/689355146288041988/pjPHtg3m.jpg","View")</f>
        <v>View</v>
      </c>
    </row>
    <row r="2294" spans="1:21" ht="61.2">
      <c r="A2294" s="6">
        <v>43440.841226851851</v>
      </c>
      <c r="B2294" s="7" t="str">
        <f>HYPERLINK("https://twitter.com/ElDiarioHoy","@ElDiarioHoy")</f>
        <v>@ElDiarioHoy</v>
      </c>
      <c r="C2294" s="8" t="s">
        <v>4621</v>
      </c>
      <c r="D2294" s="9" t="s">
        <v>4622</v>
      </c>
      <c r="E2294" s="10" t="str">
        <f>HYPERLINK("https://twitter.com/ElDiarioHoy/status/1070757609895010304","1070757609895010304")</f>
        <v>1070757609895010304</v>
      </c>
      <c r="F2294" s="12" t="s">
        <v>4623</v>
      </c>
      <c r="G2294" s="11"/>
      <c r="H2294" s="11"/>
      <c r="I2294" s="13">
        <v>0</v>
      </c>
      <c r="J2294" s="13">
        <v>1</v>
      </c>
      <c r="K2294" s="14" t="str">
        <f t="shared" si="390"/>
        <v>Twitter Web Client</v>
      </c>
      <c r="L2294" s="13">
        <v>75</v>
      </c>
      <c r="M2294" s="13">
        <v>199</v>
      </c>
      <c r="N2294" s="13">
        <v>2</v>
      </c>
      <c r="O2294" s="15"/>
      <c r="P2294" s="6">
        <v>42886.516944444447</v>
      </c>
      <c r="Q2294" s="11"/>
      <c r="R2294" s="19" t="s">
        <v>4625</v>
      </c>
      <c r="S2294" s="11"/>
      <c r="T2294" s="11"/>
      <c r="U2294" s="10" t="str">
        <f>HYPERLINK("https://pbs.twimg.com/profile_images/869863163554140161/9KbJB0Nz.jpg","View")</f>
        <v>View</v>
      </c>
    </row>
    <row r="2295" spans="1:21" ht="30.6">
      <c r="A2295" s="6">
        <v>43440.841215277775</v>
      </c>
      <c r="B2295" s="7" t="str">
        <f>HYPERLINK("https://twitter.com/pressdigital","@pressdigital")</f>
        <v>@pressdigital</v>
      </c>
      <c r="C2295" s="8" t="s">
        <v>7632</v>
      </c>
      <c r="D2295" s="9" t="s">
        <v>7633</v>
      </c>
      <c r="E2295" s="10" t="str">
        <f>HYPERLINK("https://twitter.com/pressdigital/status/1070757605230944257","1070757605230944257")</f>
        <v>1070757605230944257</v>
      </c>
      <c r="F2295" s="12" t="s">
        <v>7634</v>
      </c>
      <c r="G2295" s="11"/>
      <c r="H2295" s="11"/>
      <c r="I2295" s="13">
        <v>0</v>
      </c>
      <c r="J2295" s="13">
        <v>0</v>
      </c>
      <c r="K2295" s="14" t="str">
        <f>HYPERLINK("https://ifttt.com","IFTTT")</f>
        <v>IFTTT</v>
      </c>
      <c r="L2295" s="13">
        <v>1212</v>
      </c>
      <c r="M2295" s="13">
        <v>1127</v>
      </c>
      <c r="N2295" s="13">
        <v>73</v>
      </c>
      <c r="O2295" s="15"/>
      <c r="P2295" s="6">
        <v>40142.836041666669</v>
      </c>
      <c r="Q2295" s="18" t="s">
        <v>42</v>
      </c>
      <c r="R2295" s="19" t="s">
        <v>7635</v>
      </c>
      <c r="S2295" s="12" t="s">
        <v>7636</v>
      </c>
      <c r="T2295" s="11"/>
      <c r="U2295" s="10" t="str">
        <f>HYPERLINK("https://pbs.twimg.com/profile_images/686495616231444480/68bUHQ6J.jpg","View")</f>
        <v>View</v>
      </c>
    </row>
    <row r="2296" spans="1:21" ht="61.2">
      <c r="A2296" s="6">
        <v>43440.841168981482</v>
      </c>
      <c r="B2296" s="7" t="str">
        <f>HYPERLINK("https://twitter.com/euroescoba","@euroescoba")</f>
        <v>@euroescoba</v>
      </c>
      <c r="C2296" s="8" t="s">
        <v>1553</v>
      </c>
      <c r="D2296" s="9" t="s">
        <v>4626</v>
      </c>
      <c r="E2296" s="10" t="str">
        <f>HYPERLINK("https://twitter.com/euroescoba/status/1070757587954618368","1070757587954618368")</f>
        <v>1070757587954618368</v>
      </c>
      <c r="F2296" s="12" t="s">
        <v>3074</v>
      </c>
      <c r="G2296" s="12" t="s">
        <v>3075</v>
      </c>
      <c r="H2296" s="11"/>
      <c r="I2296" s="13">
        <v>0</v>
      </c>
      <c r="J2296" s="13">
        <v>0</v>
      </c>
      <c r="K2296" s="14" t="str">
        <f>HYPERLINK("http://twitter.com/download/iphone","Twitter for iPhone")</f>
        <v>Twitter for iPhone</v>
      </c>
      <c r="L2296" s="13">
        <v>253</v>
      </c>
      <c r="M2296" s="13">
        <v>654</v>
      </c>
      <c r="N2296" s="13">
        <v>0</v>
      </c>
      <c r="O2296" s="15"/>
      <c r="P2296" s="6">
        <v>43359.871423611112</v>
      </c>
      <c r="Q2296" s="18" t="s">
        <v>42</v>
      </c>
      <c r="R2296" s="17"/>
      <c r="S2296" s="11"/>
      <c r="T2296" s="11"/>
      <c r="U2296" s="10" t="str">
        <f>HYPERLINK("https://pbs.twimg.com/profile_images/1041401488071962625/h0f4uHG9.jpg","View")</f>
        <v>View</v>
      </c>
    </row>
    <row r="2297" spans="1:21" ht="40.799999999999997">
      <c r="A2297" s="6">
        <v>43440.840949074074</v>
      </c>
      <c r="B2297" s="7" t="str">
        <f>HYPERLINK("https://twitter.com/Slaanesh_Adria","@Slaanesh_Adria")</f>
        <v>@Slaanesh_Adria</v>
      </c>
      <c r="C2297" s="8" t="s">
        <v>7637</v>
      </c>
      <c r="D2297" s="9" t="s">
        <v>7638</v>
      </c>
      <c r="E2297" s="10" t="str">
        <f>HYPERLINK("https://twitter.com/Slaanesh_Adria/status/1070757510049603584","1070757510049603584")</f>
        <v>1070757510049603584</v>
      </c>
      <c r="F2297" s="12" t="s">
        <v>2595</v>
      </c>
      <c r="G2297" s="11"/>
      <c r="H2297" s="11"/>
      <c r="I2297" s="13">
        <v>8</v>
      </c>
      <c r="J2297" s="13">
        <v>20</v>
      </c>
      <c r="K2297" s="14" t="str">
        <f>HYPERLINK("http://twitter.com","Twitter Web Client")</f>
        <v>Twitter Web Client</v>
      </c>
      <c r="L2297" s="13">
        <v>5507</v>
      </c>
      <c r="M2297" s="13">
        <v>388</v>
      </c>
      <c r="N2297" s="13">
        <v>70</v>
      </c>
      <c r="O2297" s="15"/>
      <c r="P2297" s="6">
        <v>40694.81559027778</v>
      </c>
      <c r="Q2297" s="18" t="s">
        <v>7639</v>
      </c>
      <c r="R2297" s="19" t="s">
        <v>7640</v>
      </c>
      <c r="S2297" s="12" t="s">
        <v>7641</v>
      </c>
      <c r="T2297" s="11"/>
      <c r="U2297" s="10" t="str">
        <f>HYPERLINK("https://pbs.twimg.com/profile_images/722041419163136000/mWWp8uew.jpg","View")</f>
        <v>View</v>
      </c>
    </row>
    <row r="2298" spans="1:21" ht="30.6">
      <c r="A2298" s="6">
        <v>43440.840636574074</v>
      </c>
      <c r="B2298" s="7" t="str">
        <f>HYPERLINK("https://twitter.com/cherichefff2","@cherichefff2")</f>
        <v>@cherichefff2</v>
      </c>
      <c r="C2298" s="8" t="s">
        <v>7642</v>
      </c>
      <c r="D2298" s="9" t="s">
        <v>2879</v>
      </c>
      <c r="E2298" s="10" t="str">
        <f>HYPERLINK("https://twitter.com/cherichefff2/status/1070757394077179914","1070757394077179914")</f>
        <v>1070757394077179914</v>
      </c>
      <c r="F2298" s="12" t="s">
        <v>6402</v>
      </c>
      <c r="G2298" s="11"/>
      <c r="H2298" s="11"/>
      <c r="I2298" s="13">
        <v>0</v>
      </c>
      <c r="J2298" s="13">
        <v>0</v>
      </c>
      <c r="K2298" s="14" t="str">
        <f t="shared" ref="K2298:K2299" si="391">HYPERLINK("http://twitter.com/download/iphone","Twitter for iPhone")</f>
        <v>Twitter for iPhone</v>
      </c>
      <c r="L2298" s="13">
        <v>296</v>
      </c>
      <c r="M2298" s="13">
        <v>433</v>
      </c>
      <c r="N2298" s="13">
        <v>0</v>
      </c>
      <c r="O2298" s="15"/>
      <c r="P2298" s="6">
        <v>43165.353043981479</v>
      </c>
      <c r="Q2298" s="18" t="s">
        <v>26</v>
      </c>
      <c r="R2298" s="19" t="s">
        <v>7643</v>
      </c>
      <c r="S2298" s="11"/>
      <c r="T2298" s="11"/>
      <c r="U2298" s="10" t="str">
        <f>HYPERLINK("https://pbs.twimg.com/profile_images/1030532156144189440/its2-uLh.jpg","View")</f>
        <v>View</v>
      </c>
    </row>
    <row r="2299" spans="1:21" ht="40.799999999999997">
      <c r="A2299" s="6">
        <v>43440.840555555551</v>
      </c>
      <c r="B2299" s="7" t="str">
        <f>HYPERLINK("https://twitter.com/Laura_cruzd","@Laura_cruzd")</f>
        <v>@Laura_cruzd</v>
      </c>
      <c r="C2299" s="8" t="s">
        <v>7644</v>
      </c>
      <c r="D2299" s="9" t="s">
        <v>7645</v>
      </c>
      <c r="E2299" s="10" t="str">
        <f>HYPERLINK("https://twitter.com/Laura_cruzd/status/1070757364352069633","1070757364352069633")</f>
        <v>1070757364352069633</v>
      </c>
      <c r="F2299" s="11"/>
      <c r="G2299" s="11"/>
      <c r="H2299" s="11"/>
      <c r="I2299" s="13">
        <v>0</v>
      </c>
      <c r="J2299" s="13">
        <v>0</v>
      </c>
      <c r="K2299" s="14" t="str">
        <f t="shared" si="391"/>
        <v>Twitter for iPhone</v>
      </c>
      <c r="L2299" s="13">
        <v>1737</v>
      </c>
      <c r="M2299" s="13">
        <v>1610</v>
      </c>
      <c r="N2299" s="13">
        <v>42</v>
      </c>
      <c r="O2299" s="15"/>
      <c r="P2299" s="6">
        <v>42179.111898148149</v>
      </c>
      <c r="Q2299" s="18" t="s">
        <v>307</v>
      </c>
      <c r="R2299" s="19" t="s">
        <v>7646</v>
      </c>
      <c r="S2299" s="12" t="s">
        <v>7647</v>
      </c>
      <c r="T2299" s="11"/>
      <c r="U2299" s="10" t="str">
        <f>HYPERLINK("https://pbs.twimg.com/profile_images/786233488353681408/NBect9dU.jpg","View")</f>
        <v>View</v>
      </c>
    </row>
    <row r="2300" spans="1:21" ht="40.799999999999997">
      <c r="A2300" s="6">
        <v>43440.840405092589</v>
      </c>
      <c r="B2300" s="7" t="str">
        <f>HYPERLINK("https://twitter.com/GloriaAgudeloCa","@GloriaAgudeloCa")</f>
        <v>@GloriaAgudeloCa</v>
      </c>
      <c r="C2300" s="8" t="s">
        <v>7648</v>
      </c>
      <c r="D2300" s="9" t="s">
        <v>7649</v>
      </c>
      <c r="E2300" s="10" t="str">
        <f>HYPERLINK("https://twitter.com/GloriaAgudeloCa/status/1070757310790885377","1070757310790885377")</f>
        <v>1070757310790885377</v>
      </c>
      <c r="F2300" s="12" t="s">
        <v>2161</v>
      </c>
      <c r="G2300" s="11"/>
      <c r="H2300" s="11"/>
      <c r="I2300" s="13">
        <v>1</v>
      </c>
      <c r="J2300" s="13">
        <v>0</v>
      </c>
      <c r="K2300" s="14" t="str">
        <f>HYPERLINK("http://twitter.com","Twitter Web Client")</f>
        <v>Twitter Web Client</v>
      </c>
      <c r="L2300" s="13">
        <v>4466</v>
      </c>
      <c r="M2300" s="13">
        <v>3645</v>
      </c>
      <c r="N2300" s="13">
        <v>39</v>
      </c>
      <c r="O2300" s="15"/>
      <c r="P2300" s="6">
        <v>41113.887337962966</v>
      </c>
      <c r="Q2300" s="18" t="s">
        <v>7650</v>
      </c>
      <c r="R2300" s="19" t="s">
        <v>7651</v>
      </c>
      <c r="S2300" s="12" t="s">
        <v>7652</v>
      </c>
      <c r="T2300" s="11"/>
      <c r="U2300" s="10" t="str">
        <f>HYPERLINK("https://pbs.twimg.com/profile_images/1051490061701849089/2DOsyFb0.jpg","View")</f>
        <v>View</v>
      </c>
    </row>
    <row r="2301" spans="1:21" ht="20.399999999999999">
      <c r="A2301" s="6">
        <v>43440.840104166666</v>
      </c>
      <c r="B2301" s="7" t="str">
        <f>HYPERLINK("https://twitter.com/RadioUnionTfe","@RadioUnionTfe")</f>
        <v>@RadioUnionTfe</v>
      </c>
      <c r="C2301" s="8" t="s">
        <v>7653</v>
      </c>
      <c r="D2301" s="9" t="s">
        <v>7654</v>
      </c>
      <c r="E2301" s="10" t="str">
        <f>HYPERLINK("https://twitter.com/RadioUnionTfe/status/1070757201831182338","1070757201831182338")</f>
        <v>1070757201831182338</v>
      </c>
      <c r="F2301" s="12" t="s">
        <v>5109</v>
      </c>
      <c r="G2301" s="11"/>
      <c r="H2301" s="11"/>
      <c r="I2301" s="13">
        <v>0</v>
      </c>
      <c r="J2301" s="13">
        <v>0</v>
      </c>
      <c r="K2301" s="14" t="str">
        <f>HYPERLINK("http://twitter.com/download/android","Twitter for Android")</f>
        <v>Twitter for Android</v>
      </c>
      <c r="L2301" s="13">
        <v>170</v>
      </c>
      <c r="M2301" s="13">
        <v>63</v>
      </c>
      <c r="N2301" s="13">
        <v>1</v>
      </c>
      <c r="O2301" s="15"/>
      <c r="P2301" s="6">
        <v>40749.728564814817</v>
      </c>
      <c r="Q2301" s="11"/>
      <c r="R2301" s="17"/>
      <c r="S2301" s="11"/>
      <c r="T2301" s="11"/>
      <c r="U2301" s="10" t="str">
        <f>HYPERLINK("https://pbs.twimg.com/profile_images/912725003900211200/tvZWR99g.jpg","View")</f>
        <v>View</v>
      </c>
    </row>
    <row r="2302" spans="1:21" ht="51">
      <c r="A2302" s="6">
        <v>43440.839502314819</v>
      </c>
      <c r="B2302" s="7" t="str">
        <f>HYPERLINK("https://twitter.com/FanjulSegundo","@FanjulSegundo")</f>
        <v>@FanjulSegundo</v>
      </c>
      <c r="C2302" s="8" t="s">
        <v>7655</v>
      </c>
      <c r="D2302" s="9" t="s">
        <v>7656</v>
      </c>
      <c r="E2302" s="10" t="str">
        <f>HYPERLINK("https://twitter.com/FanjulSegundo/status/1070756983077289991","1070756983077289991")</f>
        <v>1070756983077289991</v>
      </c>
      <c r="F2302" s="12" t="s">
        <v>7657</v>
      </c>
      <c r="G2302" s="12" t="s">
        <v>7658</v>
      </c>
      <c r="H2302" s="11"/>
      <c r="I2302" s="13">
        <v>3</v>
      </c>
      <c r="J2302" s="13">
        <v>6</v>
      </c>
      <c r="K2302" s="14" t="str">
        <f t="shared" ref="K2302:K2303" si="392">HYPERLINK("http://twitter.com","Twitter Web Client")</f>
        <v>Twitter Web Client</v>
      </c>
      <c r="L2302" s="13">
        <v>32095</v>
      </c>
      <c r="M2302" s="13">
        <v>7213</v>
      </c>
      <c r="N2302" s="13">
        <v>105</v>
      </c>
      <c r="O2302" s="15"/>
      <c r="P2302" s="6">
        <v>40925.638194444444</v>
      </c>
      <c r="Q2302" s="11"/>
      <c r="R2302" s="19" t="s">
        <v>7659</v>
      </c>
      <c r="S2302" s="11"/>
      <c r="T2302" s="11"/>
      <c r="U2302" s="10" t="str">
        <f>HYPERLINK("https://pbs.twimg.com/profile_images/3538718854/e54d3fd024ceb7ff0dafe39cefaeb701.png","View")</f>
        <v>View</v>
      </c>
    </row>
    <row r="2303" spans="1:21" ht="51">
      <c r="A2303" s="6">
        <v>43440.838495370372</v>
      </c>
      <c r="B2303" s="7" t="str">
        <f>HYPERLINK("https://twitter.com/abarea_es","@abarea_es")</f>
        <v>@abarea_es</v>
      </c>
      <c r="C2303" s="8" t="s">
        <v>3017</v>
      </c>
      <c r="D2303" s="9" t="s">
        <v>4628</v>
      </c>
      <c r="E2303" s="10" t="str">
        <f>HYPERLINK("https://twitter.com/abarea_es/status/1070756620915875840","1070756620915875840")</f>
        <v>1070756620915875840</v>
      </c>
      <c r="F2303" s="11"/>
      <c r="G2303" s="11"/>
      <c r="H2303" s="11"/>
      <c r="I2303" s="13">
        <v>0</v>
      </c>
      <c r="J2303" s="13">
        <v>0</v>
      </c>
      <c r="K2303" s="14" t="str">
        <f t="shared" si="392"/>
        <v>Twitter Web Client</v>
      </c>
      <c r="L2303" s="13">
        <v>1743</v>
      </c>
      <c r="M2303" s="13">
        <v>2372</v>
      </c>
      <c r="N2303" s="13">
        <v>18</v>
      </c>
      <c r="O2303" s="15"/>
      <c r="P2303" s="6">
        <v>40645.854930555557</v>
      </c>
      <c r="Q2303" s="18" t="s">
        <v>2896</v>
      </c>
      <c r="R2303" s="19" t="s">
        <v>3021</v>
      </c>
      <c r="S2303" s="11"/>
      <c r="T2303" s="11"/>
      <c r="U2303" s="10" t="str">
        <f>HYPERLINK("https://pbs.twimg.com/profile_images/938839925201555462/61j9MW37.jpg","View")</f>
        <v>View</v>
      </c>
    </row>
    <row r="2304" spans="1:21" ht="30.6">
      <c r="A2304" s="6">
        <v>43440.838194444441</v>
      </c>
      <c r="B2304" s="7" t="str">
        <f>HYPERLINK("https://twitter.com/Rogerdaflor","@Rogerdaflor")</f>
        <v>@Rogerdaflor</v>
      </c>
      <c r="C2304" s="8" t="s">
        <v>7660</v>
      </c>
      <c r="D2304" s="9" t="s">
        <v>7661</v>
      </c>
      <c r="E2304" s="10" t="str">
        <f>HYPERLINK("https://twitter.com/Rogerdaflor/status/1070756512568627201","1070756512568627201")</f>
        <v>1070756512568627201</v>
      </c>
      <c r="F2304" s="12" t="s">
        <v>7662</v>
      </c>
      <c r="G2304" s="11"/>
      <c r="H2304" s="11"/>
      <c r="I2304" s="13">
        <v>0</v>
      </c>
      <c r="J2304" s="13">
        <v>0</v>
      </c>
      <c r="K2304" s="14" t="str">
        <f>HYPERLINK("http://twitter.com/download/android","Twitter for Android")</f>
        <v>Twitter for Android</v>
      </c>
      <c r="L2304" s="13">
        <v>244</v>
      </c>
      <c r="M2304" s="13">
        <v>1569</v>
      </c>
      <c r="N2304" s="13">
        <v>0</v>
      </c>
      <c r="O2304" s="15"/>
      <c r="P2304" s="6">
        <v>40336.615162037036</v>
      </c>
      <c r="Q2304" s="11"/>
      <c r="R2304" s="19" t="s">
        <v>7663</v>
      </c>
      <c r="S2304" s="11"/>
      <c r="T2304" s="11"/>
      <c r="U2304" s="10" t="str">
        <f>HYPERLINK("https://pbs.twimg.com/profile_images/969514380256825344/Xuv1iYyw.jpg","View")</f>
        <v>View</v>
      </c>
    </row>
    <row r="2305" spans="1:21" ht="20.399999999999999">
      <c r="A2305" s="6">
        <v>43440.838136574079</v>
      </c>
      <c r="B2305" s="7" t="str">
        <f>HYPERLINK("https://twitter.com/SanseDanza","@SanseDanza")</f>
        <v>@SanseDanza</v>
      </c>
      <c r="C2305" s="8" t="s">
        <v>7664</v>
      </c>
      <c r="D2305" s="9" t="s">
        <v>7665</v>
      </c>
      <c r="E2305" s="10" t="str">
        <f>HYPERLINK("https://twitter.com/SanseDanza/status/1070756488233271296","1070756488233271296")</f>
        <v>1070756488233271296</v>
      </c>
      <c r="F2305" s="12" t="s">
        <v>7666</v>
      </c>
      <c r="G2305" s="11"/>
      <c r="H2305" s="11" t="str">
        <f>HYPERLINK("https://ctrlq.org/maps/address/#40.54295,-3.64363","Map")</f>
        <v>Map</v>
      </c>
      <c r="I2305" s="13">
        <v>0</v>
      </c>
      <c r="J2305" s="13">
        <v>0</v>
      </c>
      <c r="K2305" s="14" t="str">
        <f>HYPERLINK("http://instagram.com","Instagram")</f>
        <v>Instagram</v>
      </c>
      <c r="L2305" s="13">
        <v>153</v>
      </c>
      <c r="M2305" s="13">
        <v>94</v>
      </c>
      <c r="N2305" s="13">
        <v>8</v>
      </c>
      <c r="O2305" s="15"/>
      <c r="P2305" s="6">
        <v>42215.662881944445</v>
      </c>
      <c r="Q2305" s="18" t="s">
        <v>6939</v>
      </c>
      <c r="R2305" s="19" t="s">
        <v>7667</v>
      </c>
      <c r="S2305" s="12" t="s">
        <v>7668</v>
      </c>
      <c r="T2305" s="11"/>
      <c r="U2305" s="10" t="str">
        <f>HYPERLINK("https://pbs.twimg.com/profile_images/871797174169985025/78DVJuz_.jpg","View")</f>
        <v>View</v>
      </c>
    </row>
    <row r="2306" spans="1:21" ht="40.799999999999997">
      <c r="A2306" s="6">
        <v>43440.836967592593</v>
      </c>
      <c r="B2306" s="7" t="str">
        <f>HYPERLINK("https://twitter.com/Tessbateria","@Tessbateria")</f>
        <v>@Tessbateria</v>
      </c>
      <c r="C2306" s="8" t="s">
        <v>2592</v>
      </c>
      <c r="D2306" s="9" t="s">
        <v>1833</v>
      </c>
      <c r="E2306" s="10" t="str">
        <f>HYPERLINK("https://twitter.com/Tessbateria/status/1070756067838189574","1070756067838189574")</f>
        <v>1070756067838189574</v>
      </c>
      <c r="F2306" s="12" t="s">
        <v>7669</v>
      </c>
      <c r="G2306" s="11"/>
      <c r="H2306" s="11"/>
      <c r="I2306" s="13">
        <v>1</v>
      </c>
      <c r="J2306" s="13">
        <v>1</v>
      </c>
      <c r="K2306" s="14" t="str">
        <f>HYPERLINK("http://twitter.com","Twitter Web Client")</f>
        <v>Twitter Web Client</v>
      </c>
      <c r="L2306" s="13">
        <v>393</v>
      </c>
      <c r="M2306" s="13">
        <v>522</v>
      </c>
      <c r="N2306" s="13">
        <v>2</v>
      </c>
      <c r="O2306" s="15"/>
      <c r="P2306" s="6">
        <v>43331.535381944443</v>
      </c>
      <c r="Q2306" s="18" t="s">
        <v>2596</v>
      </c>
      <c r="R2306" s="19" t="s">
        <v>2597</v>
      </c>
      <c r="S2306" s="11"/>
      <c r="T2306" s="11"/>
      <c r="U2306" s="10" t="str">
        <f>HYPERLINK("https://pbs.twimg.com/profile_images/1071026667664130049/1JfdMNXD.jpg","View")</f>
        <v>View</v>
      </c>
    </row>
    <row r="2307" spans="1:21" ht="13.2">
      <c r="A2307" s="24"/>
      <c r="B2307" s="25"/>
      <c r="C2307" s="25"/>
      <c r="D2307" s="26"/>
      <c r="E2307" s="15"/>
      <c r="F2307" s="11"/>
      <c r="G2307" s="11"/>
      <c r="H2307" s="11"/>
      <c r="I2307" s="15"/>
      <c r="J2307" s="15"/>
      <c r="K2307" s="11"/>
      <c r="L2307" s="15"/>
      <c r="M2307" s="15"/>
      <c r="N2307" s="15"/>
      <c r="O2307" s="15"/>
      <c r="P2307" s="24"/>
      <c r="Q2307" s="11"/>
      <c r="R2307" s="17"/>
      <c r="S2307" s="11"/>
      <c r="T2307" s="11"/>
      <c r="U2307" s="15"/>
    </row>
    <row r="2308" spans="1:21" ht="13.2">
      <c r="A2308" s="27"/>
      <c r="B2308" s="25"/>
      <c r="C2308" s="25"/>
      <c r="D2308" s="26"/>
      <c r="E2308" s="15"/>
      <c r="F2308" s="15"/>
      <c r="G2308" s="15"/>
      <c r="H2308" s="15"/>
      <c r="I2308" s="15"/>
      <c r="J2308" s="15"/>
      <c r="K2308" s="15"/>
      <c r="L2308" s="15"/>
      <c r="M2308" s="15"/>
      <c r="N2308" s="15"/>
      <c r="O2308" s="15"/>
      <c r="P2308" s="15"/>
      <c r="Q2308" s="11"/>
      <c r="R2308" s="17"/>
      <c r="S2308" s="15"/>
      <c r="T2308" s="15"/>
      <c r="U2308" s="15"/>
    </row>
    <row r="2309" spans="1:21" ht="13.2">
      <c r="A2309" s="27"/>
      <c r="B2309" s="25"/>
      <c r="C2309" s="25"/>
      <c r="D2309" s="26"/>
      <c r="E2309" s="15"/>
      <c r="F2309" s="15"/>
      <c r="G2309" s="15"/>
      <c r="H2309" s="15"/>
      <c r="I2309" s="15"/>
      <c r="J2309" s="15"/>
      <c r="K2309" s="15"/>
      <c r="L2309" s="15"/>
      <c r="M2309" s="15"/>
      <c r="N2309" s="15"/>
      <c r="O2309" s="15"/>
      <c r="P2309" s="15"/>
      <c r="Q2309" s="11"/>
      <c r="R2309" s="17"/>
      <c r="S2309" s="15"/>
      <c r="T2309" s="15"/>
      <c r="U2309" s="15"/>
    </row>
    <row r="2310" spans="1:21" ht="13.2">
      <c r="A2310" s="27"/>
      <c r="B2310" s="25"/>
      <c r="C2310" s="25"/>
      <c r="D2310" s="26"/>
      <c r="E2310" s="15"/>
      <c r="F2310" s="15"/>
      <c r="G2310" s="15"/>
      <c r="H2310" s="15"/>
      <c r="I2310" s="15"/>
      <c r="J2310" s="15"/>
      <c r="K2310" s="15"/>
      <c r="L2310" s="15"/>
      <c r="M2310" s="15"/>
      <c r="N2310" s="15"/>
      <c r="O2310" s="15"/>
      <c r="P2310" s="15"/>
      <c r="Q2310" s="11"/>
      <c r="R2310" s="17"/>
      <c r="S2310" s="15"/>
      <c r="T2310" s="15"/>
      <c r="U2310" s="15"/>
    </row>
    <row r="2311" spans="1:21" ht="13.2">
      <c r="A2311" s="27"/>
      <c r="B2311" s="25"/>
      <c r="C2311" s="25"/>
      <c r="D2311" s="26"/>
      <c r="E2311" s="15"/>
      <c r="F2311" s="15"/>
      <c r="G2311" s="15"/>
      <c r="H2311" s="15"/>
      <c r="I2311" s="15"/>
      <c r="J2311" s="15"/>
      <c r="K2311" s="15"/>
      <c r="L2311" s="15"/>
      <c r="M2311" s="15"/>
      <c r="N2311" s="15"/>
      <c r="O2311" s="15"/>
      <c r="P2311" s="15"/>
      <c r="Q2311" s="11"/>
      <c r="R2311" s="17"/>
      <c r="S2311" s="15"/>
      <c r="T2311" s="15"/>
      <c r="U2311" s="15"/>
    </row>
    <row r="2312" spans="1:21" ht="13.2">
      <c r="A2312" s="27"/>
      <c r="B2312" s="25"/>
      <c r="C2312" s="25"/>
      <c r="D2312" s="26"/>
      <c r="E2312" s="15"/>
      <c r="F2312" s="15"/>
      <c r="G2312" s="15"/>
      <c r="H2312" s="15"/>
      <c r="I2312" s="15"/>
      <c r="J2312" s="15"/>
      <c r="K2312" s="15"/>
      <c r="L2312" s="15"/>
      <c r="M2312" s="15"/>
      <c r="N2312" s="15"/>
      <c r="O2312" s="15"/>
      <c r="P2312" s="15"/>
      <c r="Q2312" s="11"/>
      <c r="R2312" s="17"/>
      <c r="S2312" s="15"/>
      <c r="T2312" s="15"/>
      <c r="U2312" s="15"/>
    </row>
    <row r="2313" spans="1:21" ht="13.2">
      <c r="A2313" s="27"/>
      <c r="B2313" s="25"/>
      <c r="C2313" s="25"/>
      <c r="D2313" s="26"/>
      <c r="E2313" s="15"/>
      <c r="F2313" s="15"/>
      <c r="G2313" s="15"/>
      <c r="H2313" s="15"/>
      <c r="I2313" s="15"/>
      <c r="J2313" s="15"/>
      <c r="K2313" s="15"/>
      <c r="L2313" s="15"/>
      <c r="M2313" s="15"/>
      <c r="N2313" s="15"/>
      <c r="O2313" s="15"/>
      <c r="P2313" s="15"/>
      <c r="Q2313" s="11"/>
      <c r="R2313" s="17"/>
      <c r="S2313" s="15"/>
      <c r="T2313" s="15"/>
      <c r="U2313" s="15"/>
    </row>
    <row r="2314" spans="1:21" ht="13.2">
      <c r="A2314" s="16"/>
      <c r="B2314" s="25"/>
      <c r="C2314" s="25"/>
      <c r="D2314" s="26"/>
      <c r="E2314" s="15"/>
      <c r="F2314" s="15"/>
      <c r="G2314" s="15"/>
      <c r="H2314" s="15"/>
      <c r="I2314" s="15"/>
      <c r="J2314" s="15"/>
      <c r="K2314" s="15"/>
      <c r="L2314" s="15"/>
      <c r="M2314" s="15"/>
      <c r="N2314" s="15"/>
      <c r="O2314" s="15"/>
      <c r="P2314" s="15"/>
      <c r="Q2314" s="11"/>
      <c r="R2314" s="17"/>
      <c r="S2314" s="15"/>
      <c r="T2314" s="15"/>
      <c r="U2314" s="15"/>
    </row>
    <row r="2315" spans="1:21" ht="13.2">
      <c r="A2315" s="27"/>
      <c r="B2315" s="25"/>
      <c r="C2315" s="25"/>
      <c r="D2315" s="26"/>
      <c r="E2315" s="15"/>
      <c r="F2315" s="15"/>
      <c r="G2315" s="15"/>
      <c r="H2315" s="15"/>
      <c r="I2315" s="15"/>
      <c r="J2315" s="15"/>
      <c r="K2315" s="15"/>
      <c r="L2315" s="15"/>
      <c r="M2315" s="15"/>
      <c r="N2315" s="15"/>
      <c r="O2315" s="15"/>
      <c r="P2315" s="15"/>
      <c r="Q2315" s="11"/>
      <c r="R2315" s="17"/>
      <c r="S2315" s="15"/>
      <c r="T2315" s="15"/>
      <c r="U2315" s="15"/>
    </row>
    <row r="2316" spans="1:21" ht="13.2">
      <c r="A2316" s="27"/>
      <c r="B2316" s="25"/>
      <c r="C2316" s="25"/>
      <c r="D2316" s="26"/>
      <c r="E2316" s="15"/>
      <c r="F2316" s="15"/>
      <c r="G2316" s="15"/>
      <c r="H2316" s="15"/>
      <c r="I2316" s="15"/>
      <c r="J2316" s="15"/>
      <c r="K2316" s="15"/>
      <c r="L2316" s="15"/>
      <c r="M2316" s="15"/>
      <c r="N2316" s="15"/>
      <c r="O2316" s="15"/>
      <c r="P2316" s="15"/>
      <c r="Q2316" s="11"/>
      <c r="R2316" s="17"/>
      <c r="S2316" s="15"/>
      <c r="T2316" s="15"/>
      <c r="U2316" s="15"/>
    </row>
    <row r="2317" spans="1:21" ht="13.2">
      <c r="A2317" s="27"/>
      <c r="B2317" s="25"/>
      <c r="C2317" s="25"/>
      <c r="D2317" s="26"/>
      <c r="E2317" s="15"/>
      <c r="F2317" s="15"/>
      <c r="G2317" s="15"/>
      <c r="H2317" s="15"/>
      <c r="I2317" s="15"/>
      <c r="J2317" s="15"/>
      <c r="K2317" s="15"/>
      <c r="L2317" s="15"/>
      <c r="M2317" s="15"/>
      <c r="N2317" s="15"/>
      <c r="O2317" s="15"/>
      <c r="P2317" s="15"/>
      <c r="Q2317" s="11"/>
      <c r="R2317" s="17"/>
      <c r="S2317" s="15"/>
      <c r="T2317" s="15"/>
      <c r="U2317" s="15"/>
    </row>
    <row r="2318" spans="1:21" ht="13.2">
      <c r="A2318" s="27"/>
      <c r="B2318" s="25"/>
      <c r="C2318" s="25"/>
      <c r="D2318" s="26"/>
      <c r="E2318" s="15"/>
      <c r="F2318" s="15"/>
      <c r="G2318" s="15"/>
      <c r="H2318" s="15"/>
      <c r="I2318" s="15"/>
      <c r="J2318" s="15"/>
      <c r="K2318" s="15"/>
      <c r="L2318" s="15"/>
      <c r="M2318" s="15"/>
      <c r="N2318" s="15"/>
      <c r="O2318" s="15"/>
      <c r="P2318" s="15"/>
      <c r="Q2318" s="11"/>
      <c r="R2318" s="17"/>
      <c r="S2318" s="15"/>
      <c r="T2318" s="15"/>
      <c r="U2318" s="15"/>
    </row>
    <row r="2319" spans="1:21" ht="13.2">
      <c r="A2319" s="27"/>
      <c r="B2319" s="25"/>
      <c r="C2319" s="25"/>
      <c r="D2319" s="26"/>
      <c r="E2319" s="15"/>
      <c r="F2319" s="15"/>
      <c r="G2319" s="15"/>
      <c r="H2319" s="15"/>
      <c r="I2319" s="15"/>
      <c r="J2319" s="15"/>
      <c r="K2319" s="15"/>
      <c r="L2319" s="15"/>
      <c r="M2319" s="15"/>
      <c r="N2319" s="15"/>
      <c r="O2319" s="15"/>
      <c r="P2319" s="15"/>
      <c r="Q2319" s="11"/>
      <c r="R2319" s="17"/>
      <c r="S2319" s="15"/>
      <c r="T2319" s="15"/>
      <c r="U2319" s="15"/>
    </row>
    <row r="2320" spans="1:21" ht="13.2">
      <c r="A2320" s="27"/>
      <c r="B2320" s="25"/>
      <c r="C2320" s="25"/>
      <c r="D2320" s="26"/>
      <c r="E2320" s="15"/>
      <c r="F2320" s="15"/>
      <c r="G2320" s="15"/>
      <c r="H2320" s="15"/>
      <c r="I2320" s="15"/>
      <c r="J2320" s="15"/>
      <c r="K2320" s="15"/>
      <c r="L2320" s="15"/>
      <c r="M2320" s="15"/>
      <c r="N2320" s="15"/>
      <c r="O2320" s="15"/>
      <c r="P2320" s="15"/>
      <c r="Q2320" s="11"/>
      <c r="R2320" s="17"/>
      <c r="S2320" s="15"/>
      <c r="T2320" s="15"/>
      <c r="U2320" s="15"/>
    </row>
    <row r="2321" spans="1:21" ht="13.2">
      <c r="A2321" s="27"/>
      <c r="B2321" s="25"/>
      <c r="C2321" s="25"/>
      <c r="D2321" s="26"/>
      <c r="E2321" s="15"/>
      <c r="F2321" s="15"/>
      <c r="G2321" s="15"/>
      <c r="H2321" s="15"/>
      <c r="I2321" s="15"/>
      <c r="J2321" s="15"/>
      <c r="K2321" s="15"/>
      <c r="L2321" s="15"/>
      <c r="M2321" s="15"/>
      <c r="N2321" s="15"/>
      <c r="O2321" s="15"/>
      <c r="P2321" s="15"/>
      <c r="Q2321" s="11"/>
      <c r="R2321" s="17"/>
      <c r="S2321" s="15"/>
      <c r="T2321" s="15"/>
      <c r="U2321" s="15"/>
    </row>
    <row r="2322" spans="1:21" ht="13.2">
      <c r="A2322" s="27"/>
      <c r="B2322" s="25"/>
      <c r="C2322" s="25"/>
      <c r="D2322" s="26"/>
      <c r="E2322" s="15"/>
      <c r="F2322" s="15"/>
      <c r="G2322" s="15"/>
      <c r="H2322" s="15"/>
      <c r="I2322" s="15"/>
      <c r="J2322" s="15"/>
      <c r="K2322" s="15"/>
      <c r="L2322" s="15"/>
      <c r="M2322" s="15"/>
      <c r="N2322" s="15"/>
      <c r="O2322" s="15"/>
      <c r="P2322" s="15"/>
      <c r="Q2322" s="11"/>
      <c r="R2322" s="17"/>
      <c r="S2322" s="15"/>
      <c r="T2322" s="15"/>
      <c r="U2322" s="15"/>
    </row>
    <row r="2323" spans="1:21" ht="13.2">
      <c r="A2323" s="27"/>
      <c r="B2323" s="25"/>
      <c r="C2323" s="25"/>
      <c r="D2323" s="26"/>
      <c r="E2323" s="15"/>
      <c r="F2323" s="15"/>
      <c r="G2323" s="15"/>
      <c r="H2323" s="15"/>
      <c r="I2323" s="15"/>
      <c r="J2323" s="15"/>
      <c r="K2323" s="15"/>
      <c r="L2323" s="15"/>
      <c r="M2323" s="15"/>
      <c r="N2323" s="15"/>
      <c r="O2323" s="15"/>
      <c r="P2323" s="15"/>
      <c r="Q2323" s="11"/>
      <c r="R2323" s="17"/>
      <c r="S2323" s="15"/>
      <c r="T2323" s="15"/>
      <c r="U2323" s="15"/>
    </row>
    <row r="2324" spans="1:21" ht="13.2">
      <c r="A2324" s="27"/>
      <c r="B2324" s="25"/>
      <c r="C2324" s="25"/>
      <c r="D2324" s="26"/>
      <c r="E2324" s="15"/>
      <c r="F2324" s="15"/>
      <c r="G2324" s="15"/>
      <c r="H2324" s="15"/>
      <c r="I2324" s="15"/>
      <c r="J2324" s="15"/>
      <c r="K2324" s="15"/>
      <c r="L2324" s="15"/>
      <c r="M2324" s="15"/>
      <c r="N2324" s="15"/>
      <c r="O2324" s="15"/>
      <c r="P2324" s="15"/>
      <c r="Q2324" s="11"/>
      <c r="R2324" s="17"/>
      <c r="S2324" s="15"/>
      <c r="T2324" s="15"/>
      <c r="U2324" s="15"/>
    </row>
    <row r="2325" spans="1:21" ht="13.2">
      <c r="A2325" s="27"/>
      <c r="B2325" s="25"/>
      <c r="C2325" s="25"/>
      <c r="D2325" s="26"/>
      <c r="E2325" s="15"/>
      <c r="F2325" s="15"/>
      <c r="G2325" s="15"/>
      <c r="H2325" s="15"/>
      <c r="I2325" s="15"/>
      <c r="J2325" s="15"/>
      <c r="K2325" s="15"/>
      <c r="L2325" s="15"/>
      <c r="M2325" s="15"/>
      <c r="N2325" s="15"/>
      <c r="O2325" s="15"/>
      <c r="P2325" s="15"/>
      <c r="Q2325" s="11"/>
      <c r="R2325" s="17"/>
      <c r="S2325" s="15"/>
      <c r="T2325" s="15"/>
      <c r="U2325" s="15"/>
    </row>
    <row r="2326" spans="1:21" ht="13.2">
      <c r="A2326" s="27"/>
      <c r="B2326" s="25"/>
      <c r="C2326" s="25"/>
      <c r="D2326" s="26"/>
      <c r="E2326" s="15"/>
      <c r="F2326" s="15"/>
      <c r="G2326" s="15"/>
      <c r="H2326" s="15"/>
      <c r="I2326" s="15"/>
      <c r="J2326" s="15"/>
      <c r="K2326" s="15"/>
      <c r="L2326" s="15"/>
      <c r="M2326" s="15"/>
      <c r="N2326" s="15"/>
      <c r="O2326" s="15"/>
      <c r="P2326" s="15"/>
      <c r="Q2326" s="11"/>
      <c r="R2326" s="17"/>
      <c r="S2326" s="15"/>
      <c r="T2326" s="15"/>
      <c r="U2326" s="15"/>
    </row>
    <row r="2327" spans="1:21" ht="13.2">
      <c r="A2327" s="27"/>
      <c r="B2327" s="25"/>
      <c r="C2327" s="25"/>
      <c r="D2327" s="26"/>
      <c r="E2327" s="15"/>
      <c r="F2327" s="15"/>
      <c r="G2327" s="15"/>
      <c r="H2327" s="15"/>
      <c r="I2327" s="15"/>
      <c r="J2327" s="15"/>
      <c r="K2327" s="15"/>
      <c r="L2327" s="15"/>
      <c r="M2327" s="15"/>
      <c r="N2327" s="15"/>
      <c r="O2327" s="15"/>
      <c r="P2327" s="15"/>
      <c r="Q2327" s="11"/>
      <c r="R2327" s="17"/>
      <c r="S2327" s="15"/>
      <c r="T2327" s="15"/>
      <c r="U2327" s="15"/>
    </row>
    <row r="2328" spans="1:21" ht="13.2">
      <c r="A2328" s="27"/>
      <c r="B2328" s="25"/>
      <c r="C2328" s="25"/>
      <c r="D2328" s="26"/>
      <c r="E2328" s="15"/>
      <c r="F2328" s="15"/>
      <c r="G2328" s="15"/>
      <c r="H2328" s="15"/>
      <c r="I2328" s="15"/>
      <c r="J2328" s="15"/>
      <c r="K2328" s="15"/>
      <c r="L2328" s="15"/>
      <c r="M2328" s="15"/>
      <c r="N2328" s="15"/>
      <c r="O2328" s="15"/>
      <c r="P2328" s="15"/>
      <c r="Q2328" s="11"/>
      <c r="R2328" s="17"/>
      <c r="S2328" s="15"/>
      <c r="T2328" s="15"/>
      <c r="U2328" s="15"/>
    </row>
    <row r="2329" spans="1:21" ht="13.2">
      <c r="A2329" s="27"/>
      <c r="B2329" s="25"/>
      <c r="C2329" s="25"/>
      <c r="D2329" s="26"/>
      <c r="E2329" s="15"/>
      <c r="F2329" s="15"/>
      <c r="G2329" s="15"/>
      <c r="H2329" s="15"/>
      <c r="I2329" s="15"/>
      <c r="J2329" s="15"/>
      <c r="K2329" s="15"/>
      <c r="L2329" s="15"/>
      <c r="M2329" s="15"/>
      <c r="N2329" s="15"/>
      <c r="O2329" s="15"/>
      <c r="P2329" s="15"/>
      <c r="Q2329" s="11"/>
      <c r="R2329" s="17"/>
      <c r="S2329" s="15"/>
      <c r="T2329" s="15"/>
      <c r="U2329" s="15"/>
    </row>
  </sheetData>
  <mergeCells count="2">
    <mergeCell ref="A1:K1"/>
    <mergeCell ref="L1:U1"/>
  </mergeCells>
  <hyperlinks>
    <hyperlink ref="G3" r:id="rId1" xr:uid="{00000000-0004-0000-0200-000000000000}"/>
    <hyperlink ref="S3" r:id="rId2" xr:uid="{00000000-0004-0000-0200-000001000000}"/>
    <hyperlink ref="F4" r:id="rId3" xr:uid="{00000000-0004-0000-0200-000002000000}"/>
    <hyperlink ref="S4" r:id="rId4" xr:uid="{00000000-0004-0000-0200-000003000000}"/>
    <hyperlink ref="F5" r:id="rId5" xr:uid="{00000000-0004-0000-0200-000004000000}"/>
    <hyperlink ref="F6" r:id="rId6" xr:uid="{00000000-0004-0000-0200-000005000000}"/>
    <hyperlink ref="F7" r:id="rId7" xr:uid="{00000000-0004-0000-0200-000006000000}"/>
    <hyperlink ref="S7" r:id="rId8" xr:uid="{00000000-0004-0000-0200-000007000000}"/>
    <hyperlink ref="G8" r:id="rId9" xr:uid="{00000000-0004-0000-0200-000008000000}"/>
    <hyperlink ref="F9" r:id="rId10" xr:uid="{00000000-0004-0000-0200-000009000000}"/>
    <hyperlink ref="F11" r:id="rId11" xr:uid="{00000000-0004-0000-0200-00000A000000}"/>
    <hyperlink ref="F12" r:id="rId12" xr:uid="{00000000-0004-0000-0200-00000B000000}"/>
    <hyperlink ref="F14" r:id="rId13" xr:uid="{00000000-0004-0000-0200-00000C000000}"/>
    <hyperlink ref="S14" r:id="rId14" xr:uid="{00000000-0004-0000-0200-00000D000000}"/>
    <hyperlink ref="F15" r:id="rId15" xr:uid="{00000000-0004-0000-0200-00000E000000}"/>
    <hyperlink ref="F17" r:id="rId16" xr:uid="{00000000-0004-0000-0200-00000F000000}"/>
    <hyperlink ref="F18" r:id="rId17" xr:uid="{00000000-0004-0000-0200-000010000000}"/>
    <hyperlink ref="S18" r:id="rId18" xr:uid="{00000000-0004-0000-0200-000011000000}"/>
    <hyperlink ref="F19" r:id="rId19" xr:uid="{00000000-0004-0000-0200-000012000000}"/>
    <hyperlink ref="S19" r:id="rId20" xr:uid="{00000000-0004-0000-0200-000013000000}"/>
    <hyperlink ref="F20" r:id="rId21" xr:uid="{00000000-0004-0000-0200-000014000000}"/>
    <hyperlink ref="S20" r:id="rId22" xr:uid="{00000000-0004-0000-0200-000015000000}"/>
    <hyperlink ref="F22" r:id="rId23" xr:uid="{00000000-0004-0000-0200-000016000000}"/>
    <hyperlink ref="G22" r:id="rId24" xr:uid="{00000000-0004-0000-0200-000017000000}"/>
    <hyperlink ref="S22" r:id="rId25" xr:uid="{00000000-0004-0000-0200-000018000000}"/>
    <hyperlink ref="F23" r:id="rId26" location=".XAvsdvuQuG8.twitter" xr:uid="{00000000-0004-0000-0200-000019000000}"/>
    <hyperlink ref="S23" r:id="rId27" xr:uid="{00000000-0004-0000-0200-00001A000000}"/>
    <hyperlink ref="F24" r:id="rId28" xr:uid="{00000000-0004-0000-0200-00001B000000}"/>
    <hyperlink ref="S24" r:id="rId29" xr:uid="{00000000-0004-0000-0200-00001C000000}"/>
    <hyperlink ref="F25" r:id="rId30" xr:uid="{00000000-0004-0000-0200-00001D000000}"/>
    <hyperlink ref="F27" r:id="rId31" xr:uid="{00000000-0004-0000-0200-00001E000000}"/>
    <hyperlink ref="S27" r:id="rId32" xr:uid="{00000000-0004-0000-0200-00001F000000}"/>
    <hyperlink ref="F28" r:id="rId33" xr:uid="{00000000-0004-0000-0200-000020000000}"/>
    <hyperlink ref="F29" r:id="rId34" xr:uid="{00000000-0004-0000-0200-000021000000}"/>
    <hyperlink ref="F30" r:id="rId35" xr:uid="{00000000-0004-0000-0200-000022000000}"/>
    <hyperlink ref="F31" r:id="rId36" xr:uid="{00000000-0004-0000-0200-000023000000}"/>
    <hyperlink ref="S32" r:id="rId37" xr:uid="{00000000-0004-0000-0200-000024000000}"/>
    <hyperlink ref="F33" r:id="rId38" xr:uid="{00000000-0004-0000-0200-000025000000}"/>
    <hyperlink ref="G35" r:id="rId39" xr:uid="{00000000-0004-0000-0200-000026000000}"/>
    <hyperlink ref="F36" r:id="rId40" xr:uid="{00000000-0004-0000-0200-000027000000}"/>
    <hyperlink ref="S37" r:id="rId41" xr:uid="{00000000-0004-0000-0200-000028000000}"/>
    <hyperlink ref="F38" r:id="rId42" xr:uid="{00000000-0004-0000-0200-000029000000}"/>
    <hyperlink ref="F39" r:id="rId43" xr:uid="{00000000-0004-0000-0200-00002A000000}"/>
    <hyperlink ref="S40" r:id="rId44" xr:uid="{00000000-0004-0000-0200-00002B000000}"/>
    <hyperlink ref="F41" r:id="rId45" location=".XAvnufQSInA.twitter" xr:uid="{00000000-0004-0000-0200-00002C000000}"/>
    <hyperlink ref="S41" r:id="rId46" xr:uid="{00000000-0004-0000-0200-00002D000000}"/>
    <hyperlink ref="F42" r:id="rId47" xr:uid="{00000000-0004-0000-0200-00002E000000}"/>
    <hyperlink ref="F44" r:id="rId48" location=".XAvnOBhc--F.twitter" xr:uid="{00000000-0004-0000-0200-00002F000000}"/>
    <hyperlink ref="F45" r:id="rId49" xr:uid="{00000000-0004-0000-0200-000030000000}"/>
    <hyperlink ref="G45" r:id="rId50" xr:uid="{00000000-0004-0000-0200-000031000000}"/>
    <hyperlink ref="S45" r:id="rId51" xr:uid="{00000000-0004-0000-0200-000032000000}"/>
    <hyperlink ref="F46" r:id="rId52" xr:uid="{00000000-0004-0000-0200-000033000000}"/>
    <hyperlink ref="G46" r:id="rId53" xr:uid="{00000000-0004-0000-0200-000034000000}"/>
    <hyperlink ref="S46" r:id="rId54" xr:uid="{00000000-0004-0000-0200-000035000000}"/>
    <hyperlink ref="F47" r:id="rId55" xr:uid="{00000000-0004-0000-0200-000036000000}"/>
    <hyperlink ref="G48" r:id="rId56" xr:uid="{00000000-0004-0000-0200-000037000000}"/>
    <hyperlink ref="F49" r:id="rId57" xr:uid="{00000000-0004-0000-0200-000038000000}"/>
    <hyperlink ref="S50" r:id="rId58" xr:uid="{00000000-0004-0000-0200-000039000000}"/>
    <hyperlink ref="G51" r:id="rId59" xr:uid="{00000000-0004-0000-0200-00003A000000}"/>
    <hyperlink ref="S51" r:id="rId60" xr:uid="{00000000-0004-0000-0200-00003B000000}"/>
    <hyperlink ref="F52" r:id="rId61" xr:uid="{00000000-0004-0000-0200-00003C000000}"/>
    <hyperlink ref="F53" r:id="rId62" xr:uid="{00000000-0004-0000-0200-00003D000000}"/>
    <hyperlink ref="S53" r:id="rId63" xr:uid="{00000000-0004-0000-0200-00003E000000}"/>
    <hyperlink ref="G54" r:id="rId64" xr:uid="{00000000-0004-0000-0200-00003F000000}"/>
    <hyperlink ref="S54" r:id="rId65" xr:uid="{00000000-0004-0000-0200-000040000000}"/>
    <hyperlink ref="F55" r:id="rId66" xr:uid="{00000000-0004-0000-0200-000041000000}"/>
    <hyperlink ref="F56" r:id="rId67" xr:uid="{00000000-0004-0000-0200-000042000000}"/>
    <hyperlink ref="G56" r:id="rId68" xr:uid="{00000000-0004-0000-0200-000043000000}"/>
    <hyperlink ref="F57" r:id="rId69" xr:uid="{00000000-0004-0000-0200-000044000000}"/>
    <hyperlink ref="F58" r:id="rId70" xr:uid="{00000000-0004-0000-0200-000045000000}"/>
    <hyperlink ref="F59" r:id="rId71" xr:uid="{00000000-0004-0000-0200-000046000000}"/>
    <hyperlink ref="F60" r:id="rId72" xr:uid="{00000000-0004-0000-0200-000047000000}"/>
    <hyperlink ref="F61" r:id="rId73" location=".XAvkbVa3-14.twitter" xr:uid="{00000000-0004-0000-0200-000048000000}"/>
    <hyperlink ref="S61" r:id="rId74" xr:uid="{00000000-0004-0000-0200-000049000000}"/>
    <hyperlink ref="F62" r:id="rId75" xr:uid="{00000000-0004-0000-0200-00004A000000}"/>
    <hyperlink ref="S62" r:id="rId76" xr:uid="{00000000-0004-0000-0200-00004B000000}"/>
    <hyperlink ref="F63" r:id="rId77" xr:uid="{00000000-0004-0000-0200-00004C000000}"/>
    <hyperlink ref="F64" r:id="rId78" location=".XAvjhAukTgo.twitter" xr:uid="{00000000-0004-0000-0200-00004D000000}"/>
    <hyperlink ref="G65" r:id="rId79" xr:uid="{00000000-0004-0000-0200-00004E000000}"/>
    <hyperlink ref="F66" r:id="rId80" xr:uid="{00000000-0004-0000-0200-00004F000000}"/>
    <hyperlink ref="G66" r:id="rId81" xr:uid="{00000000-0004-0000-0200-000050000000}"/>
    <hyperlink ref="S66" r:id="rId82" xr:uid="{00000000-0004-0000-0200-000051000000}"/>
    <hyperlink ref="F67" r:id="rId83" xr:uid="{00000000-0004-0000-0200-000052000000}"/>
    <hyperlink ref="S68" r:id="rId84" xr:uid="{00000000-0004-0000-0200-000053000000}"/>
    <hyperlink ref="F69" r:id="rId85" xr:uid="{00000000-0004-0000-0200-000054000000}"/>
    <hyperlink ref="F70" r:id="rId86" xr:uid="{00000000-0004-0000-0200-000055000000}"/>
    <hyperlink ref="G70" r:id="rId87" xr:uid="{00000000-0004-0000-0200-000056000000}"/>
    <hyperlink ref="F71" r:id="rId88" xr:uid="{00000000-0004-0000-0200-000057000000}"/>
    <hyperlink ref="G71" r:id="rId89" xr:uid="{00000000-0004-0000-0200-000058000000}"/>
    <hyperlink ref="F72" r:id="rId90" xr:uid="{00000000-0004-0000-0200-000059000000}"/>
    <hyperlink ref="F73" r:id="rId91" xr:uid="{00000000-0004-0000-0200-00005A000000}"/>
    <hyperlink ref="F74" r:id="rId92" xr:uid="{00000000-0004-0000-0200-00005B000000}"/>
    <hyperlink ref="F75" r:id="rId93" xr:uid="{00000000-0004-0000-0200-00005C000000}"/>
    <hyperlink ref="F76" r:id="rId94" xr:uid="{00000000-0004-0000-0200-00005D000000}"/>
    <hyperlink ref="G76" r:id="rId95" xr:uid="{00000000-0004-0000-0200-00005E000000}"/>
    <hyperlink ref="G77" r:id="rId96" xr:uid="{00000000-0004-0000-0200-00005F000000}"/>
    <hyperlink ref="F78" r:id="rId97" xr:uid="{00000000-0004-0000-0200-000060000000}"/>
    <hyperlink ref="F79" r:id="rId98" xr:uid="{00000000-0004-0000-0200-000061000000}"/>
    <hyperlink ref="F80" r:id="rId99" xr:uid="{00000000-0004-0000-0200-000062000000}"/>
    <hyperlink ref="F81" r:id="rId100" xr:uid="{00000000-0004-0000-0200-000063000000}"/>
    <hyperlink ref="F82" r:id="rId101" xr:uid="{00000000-0004-0000-0200-000064000000}"/>
    <hyperlink ref="G82" r:id="rId102" xr:uid="{00000000-0004-0000-0200-000065000000}"/>
    <hyperlink ref="F83" r:id="rId103" xr:uid="{00000000-0004-0000-0200-000066000000}"/>
    <hyperlink ref="F84" r:id="rId104" xr:uid="{00000000-0004-0000-0200-000067000000}"/>
    <hyperlink ref="G84" r:id="rId105" xr:uid="{00000000-0004-0000-0200-000068000000}"/>
    <hyperlink ref="F85" r:id="rId106" xr:uid="{00000000-0004-0000-0200-000069000000}"/>
    <hyperlink ref="F86" r:id="rId107" xr:uid="{00000000-0004-0000-0200-00006A000000}"/>
    <hyperlink ref="S86" r:id="rId108" xr:uid="{00000000-0004-0000-0200-00006B000000}"/>
    <hyperlink ref="F88" r:id="rId109" xr:uid="{00000000-0004-0000-0200-00006C000000}"/>
    <hyperlink ref="G88" r:id="rId110" xr:uid="{00000000-0004-0000-0200-00006D000000}"/>
    <hyperlink ref="G89" r:id="rId111" xr:uid="{00000000-0004-0000-0200-00006E000000}"/>
    <hyperlink ref="G90" r:id="rId112" xr:uid="{00000000-0004-0000-0200-00006F000000}"/>
    <hyperlink ref="S90" r:id="rId113" xr:uid="{00000000-0004-0000-0200-000070000000}"/>
    <hyperlink ref="F91" r:id="rId114" xr:uid="{00000000-0004-0000-0200-000071000000}"/>
    <hyperlink ref="G91" r:id="rId115" xr:uid="{00000000-0004-0000-0200-000072000000}"/>
    <hyperlink ref="S91" r:id="rId116" xr:uid="{00000000-0004-0000-0200-000073000000}"/>
    <hyperlink ref="F92" r:id="rId117" xr:uid="{00000000-0004-0000-0200-000074000000}"/>
    <hyperlink ref="F93" r:id="rId118" xr:uid="{00000000-0004-0000-0200-000075000000}"/>
    <hyperlink ref="F94" r:id="rId119" xr:uid="{00000000-0004-0000-0200-000076000000}"/>
    <hyperlink ref="F96" r:id="rId120" xr:uid="{00000000-0004-0000-0200-000077000000}"/>
    <hyperlink ref="S96" r:id="rId121" xr:uid="{00000000-0004-0000-0200-000078000000}"/>
    <hyperlink ref="F97" r:id="rId122" xr:uid="{00000000-0004-0000-0200-000079000000}"/>
    <hyperlink ref="S97" r:id="rId123" xr:uid="{00000000-0004-0000-0200-00007A000000}"/>
    <hyperlink ref="F98" r:id="rId124" xr:uid="{00000000-0004-0000-0200-00007B000000}"/>
    <hyperlink ref="G99" r:id="rId125" xr:uid="{00000000-0004-0000-0200-00007C000000}"/>
    <hyperlink ref="S99" r:id="rId126" xr:uid="{00000000-0004-0000-0200-00007D000000}"/>
    <hyperlink ref="F100" r:id="rId127" xr:uid="{00000000-0004-0000-0200-00007E000000}"/>
    <hyperlink ref="F101" r:id="rId128" location=".XAvXL9AIOV8.twitter" xr:uid="{00000000-0004-0000-0200-00007F000000}"/>
    <hyperlink ref="F102" r:id="rId129" xr:uid="{00000000-0004-0000-0200-000080000000}"/>
    <hyperlink ref="G102" r:id="rId130" xr:uid="{00000000-0004-0000-0200-000081000000}"/>
    <hyperlink ref="S102" r:id="rId131" xr:uid="{00000000-0004-0000-0200-000082000000}"/>
    <hyperlink ref="G103" r:id="rId132" xr:uid="{00000000-0004-0000-0200-000083000000}"/>
    <hyperlink ref="F104" r:id="rId133" xr:uid="{00000000-0004-0000-0200-000084000000}"/>
    <hyperlink ref="F107" r:id="rId134" xr:uid="{00000000-0004-0000-0200-000085000000}"/>
    <hyperlink ref="F108" r:id="rId135" xr:uid="{00000000-0004-0000-0200-000086000000}"/>
    <hyperlink ref="F109" r:id="rId136" xr:uid="{00000000-0004-0000-0200-000087000000}"/>
    <hyperlink ref="G110" r:id="rId137" xr:uid="{00000000-0004-0000-0200-000088000000}"/>
    <hyperlink ref="F111" r:id="rId138" xr:uid="{00000000-0004-0000-0200-000089000000}"/>
    <hyperlink ref="S111" r:id="rId139" xr:uid="{00000000-0004-0000-0200-00008A000000}"/>
    <hyperlink ref="F112" r:id="rId140" xr:uid="{00000000-0004-0000-0200-00008B000000}"/>
    <hyperlink ref="G112" r:id="rId141" xr:uid="{00000000-0004-0000-0200-00008C000000}"/>
    <hyperlink ref="F113" r:id="rId142" xr:uid="{00000000-0004-0000-0200-00008D000000}"/>
    <hyperlink ref="F114" r:id="rId143" xr:uid="{00000000-0004-0000-0200-00008E000000}"/>
    <hyperlink ref="G114" r:id="rId144" xr:uid="{00000000-0004-0000-0200-00008F000000}"/>
    <hyperlink ref="S114" r:id="rId145" xr:uid="{00000000-0004-0000-0200-000090000000}"/>
    <hyperlink ref="F115" r:id="rId146" location=".XAvT9kB6AqI.twitter" xr:uid="{00000000-0004-0000-0200-000091000000}"/>
    <hyperlink ref="S115" r:id="rId147" xr:uid="{00000000-0004-0000-0200-000092000000}"/>
    <hyperlink ref="G116" r:id="rId148" xr:uid="{00000000-0004-0000-0200-000093000000}"/>
    <hyperlink ref="F117" r:id="rId149" xr:uid="{00000000-0004-0000-0200-000094000000}"/>
    <hyperlink ref="G118" r:id="rId150" xr:uid="{00000000-0004-0000-0200-000095000000}"/>
    <hyperlink ref="F119" r:id="rId151" xr:uid="{00000000-0004-0000-0200-000096000000}"/>
    <hyperlink ref="F120" r:id="rId152" xr:uid="{00000000-0004-0000-0200-000097000000}"/>
    <hyperlink ref="F121" r:id="rId153" xr:uid="{00000000-0004-0000-0200-000098000000}"/>
    <hyperlink ref="S121" r:id="rId154" xr:uid="{00000000-0004-0000-0200-000099000000}"/>
    <hyperlink ref="F122" r:id="rId155" xr:uid="{00000000-0004-0000-0200-00009A000000}"/>
    <hyperlink ref="F124" r:id="rId156" xr:uid="{00000000-0004-0000-0200-00009B000000}"/>
    <hyperlink ref="S124" r:id="rId157" xr:uid="{00000000-0004-0000-0200-00009C000000}"/>
    <hyperlink ref="F125" r:id="rId158" xr:uid="{00000000-0004-0000-0200-00009D000000}"/>
    <hyperlink ref="S125" r:id="rId159" xr:uid="{00000000-0004-0000-0200-00009E000000}"/>
    <hyperlink ref="F126" r:id="rId160" xr:uid="{00000000-0004-0000-0200-00009F000000}"/>
    <hyperlink ref="F128" r:id="rId161" location=".XAvPmI0L0es.twitter" xr:uid="{00000000-0004-0000-0200-0000A0000000}"/>
    <hyperlink ref="F129" r:id="rId162" xr:uid="{00000000-0004-0000-0200-0000A1000000}"/>
    <hyperlink ref="F130" r:id="rId163" xr:uid="{00000000-0004-0000-0200-0000A2000000}"/>
    <hyperlink ref="F131" r:id="rId164" xr:uid="{00000000-0004-0000-0200-0000A3000000}"/>
    <hyperlink ref="F133" r:id="rId165" xr:uid="{00000000-0004-0000-0200-0000A4000000}"/>
    <hyperlink ref="F134" r:id="rId166" xr:uid="{00000000-0004-0000-0200-0000A5000000}"/>
    <hyperlink ref="S134" r:id="rId167" xr:uid="{00000000-0004-0000-0200-0000A6000000}"/>
    <hyperlink ref="F135" r:id="rId168" xr:uid="{00000000-0004-0000-0200-0000A7000000}"/>
    <hyperlink ref="F136" r:id="rId169" xr:uid="{00000000-0004-0000-0200-0000A8000000}"/>
    <hyperlink ref="G136" r:id="rId170" xr:uid="{00000000-0004-0000-0200-0000A9000000}"/>
    <hyperlink ref="F137" r:id="rId171" xr:uid="{00000000-0004-0000-0200-0000AA000000}"/>
    <hyperlink ref="F138" r:id="rId172" xr:uid="{00000000-0004-0000-0200-0000AB000000}"/>
    <hyperlink ref="G139" r:id="rId173" xr:uid="{00000000-0004-0000-0200-0000AC000000}"/>
    <hyperlink ref="S139" r:id="rId174" xr:uid="{00000000-0004-0000-0200-0000AD000000}"/>
    <hyperlink ref="F140" r:id="rId175" xr:uid="{00000000-0004-0000-0200-0000AE000000}"/>
    <hyperlink ref="G140" r:id="rId176" xr:uid="{00000000-0004-0000-0200-0000AF000000}"/>
    <hyperlink ref="F141" r:id="rId177" xr:uid="{00000000-0004-0000-0200-0000B0000000}"/>
    <hyperlink ref="F142" r:id="rId178" xr:uid="{00000000-0004-0000-0200-0000B1000000}"/>
    <hyperlink ref="G142" r:id="rId179" xr:uid="{00000000-0004-0000-0200-0000B2000000}"/>
    <hyperlink ref="F143" r:id="rId180" xr:uid="{00000000-0004-0000-0200-0000B3000000}"/>
    <hyperlink ref="S143" r:id="rId181" xr:uid="{00000000-0004-0000-0200-0000B4000000}"/>
    <hyperlink ref="G144" r:id="rId182" xr:uid="{00000000-0004-0000-0200-0000B5000000}"/>
    <hyperlink ref="F146" r:id="rId183" xr:uid="{00000000-0004-0000-0200-0000B6000000}"/>
    <hyperlink ref="S147" r:id="rId184" xr:uid="{00000000-0004-0000-0200-0000B7000000}"/>
    <hyperlink ref="G148" r:id="rId185" xr:uid="{00000000-0004-0000-0200-0000B8000000}"/>
    <hyperlink ref="S148" r:id="rId186" xr:uid="{00000000-0004-0000-0200-0000B9000000}"/>
    <hyperlink ref="F149" r:id="rId187" xr:uid="{00000000-0004-0000-0200-0000BA000000}"/>
    <hyperlink ref="F150" r:id="rId188" xr:uid="{00000000-0004-0000-0200-0000BB000000}"/>
    <hyperlink ref="F151" r:id="rId189" xr:uid="{00000000-0004-0000-0200-0000BC000000}"/>
    <hyperlink ref="S151" r:id="rId190" xr:uid="{00000000-0004-0000-0200-0000BD000000}"/>
    <hyperlink ref="F152" r:id="rId191" location=".XAvLOiXGslw.twitter" xr:uid="{00000000-0004-0000-0200-0000BE000000}"/>
    <hyperlink ref="F153" r:id="rId192" xr:uid="{00000000-0004-0000-0200-0000BF000000}"/>
    <hyperlink ref="F154" r:id="rId193" xr:uid="{00000000-0004-0000-0200-0000C0000000}"/>
    <hyperlink ref="F156" r:id="rId194" xr:uid="{00000000-0004-0000-0200-0000C1000000}"/>
    <hyperlink ref="F157" r:id="rId195" xr:uid="{00000000-0004-0000-0200-0000C2000000}"/>
    <hyperlink ref="S157" r:id="rId196" xr:uid="{00000000-0004-0000-0200-0000C3000000}"/>
    <hyperlink ref="F158" r:id="rId197" xr:uid="{00000000-0004-0000-0200-0000C4000000}"/>
    <hyperlink ref="G158" r:id="rId198" xr:uid="{00000000-0004-0000-0200-0000C5000000}"/>
    <hyperlink ref="G159" r:id="rId199" xr:uid="{00000000-0004-0000-0200-0000C6000000}"/>
    <hyperlink ref="S160" r:id="rId200" xr:uid="{00000000-0004-0000-0200-0000C7000000}"/>
    <hyperlink ref="F161" r:id="rId201" xr:uid="{00000000-0004-0000-0200-0000C8000000}"/>
    <hyperlink ref="S163" r:id="rId202" xr:uid="{00000000-0004-0000-0200-0000C9000000}"/>
    <hyperlink ref="F164" r:id="rId203" xr:uid="{00000000-0004-0000-0200-0000CA000000}"/>
    <hyperlink ref="G164" r:id="rId204" xr:uid="{00000000-0004-0000-0200-0000CB000000}"/>
    <hyperlink ref="F165" r:id="rId205" xr:uid="{00000000-0004-0000-0200-0000CC000000}"/>
    <hyperlink ref="F168" r:id="rId206" xr:uid="{00000000-0004-0000-0200-0000CD000000}"/>
    <hyperlink ref="F169" r:id="rId207" xr:uid="{00000000-0004-0000-0200-0000CE000000}"/>
    <hyperlink ref="G170" r:id="rId208" xr:uid="{00000000-0004-0000-0200-0000CF000000}"/>
    <hyperlink ref="S171" r:id="rId209" xr:uid="{00000000-0004-0000-0200-0000D0000000}"/>
    <hyperlink ref="F176" r:id="rId210" xr:uid="{00000000-0004-0000-0200-0000D1000000}"/>
    <hyperlink ref="G176" r:id="rId211" xr:uid="{00000000-0004-0000-0200-0000D2000000}"/>
    <hyperlink ref="F178" r:id="rId212" xr:uid="{00000000-0004-0000-0200-0000D3000000}"/>
    <hyperlink ref="F179" r:id="rId213" xr:uid="{00000000-0004-0000-0200-0000D4000000}"/>
    <hyperlink ref="F180" r:id="rId214" xr:uid="{00000000-0004-0000-0200-0000D5000000}"/>
    <hyperlink ref="F181" r:id="rId215" xr:uid="{00000000-0004-0000-0200-0000D6000000}"/>
    <hyperlink ref="F182" r:id="rId216" xr:uid="{00000000-0004-0000-0200-0000D7000000}"/>
    <hyperlink ref="F183" r:id="rId217" xr:uid="{00000000-0004-0000-0200-0000D8000000}"/>
    <hyperlink ref="G183" r:id="rId218" xr:uid="{00000000-0004-0000-0200-0000D9000000}"/>
    <hyperlink ref="F184" r:id="rId219" xr:uid="{00000000-0004-0000-0200-0000DA000000}"/>
    <hyperlink ref="G184" r:id="rId220" xr:uid="{00000000-0004-0000-0200-0000DB000000}"/>
    <hyperlink ref="S184" r:id="rId221" xr:uid="{00000000-0004-0000-0200-0000DC000000}"/>
    <hyperlink ref="S185" r:id="rId222" xr:uid="{00000000-0004-0000-0200-0000DD000000}"/>
    <hyperlink ref="F186" r:id="rId223" xr:uid="{00000000-0004-0000-0200-0000DE000000}"/>
    <hyperlink ref="F187" r:id="rId224" xr:uid="{00000000-0004-0000-0200-0000DF000000}"/>
    <hyperlink ref="F188" r:id="rId225" xr:uid="{00000000-0004-0000-0200-0000E0000000}"/>
    <hyperlink ref="S188" r:id="rId226" xr:uid="{00000000-0004-0000-0200-0000E1000000}"/>
    <hyperlink ref="F189" r:id="rId227" location=".XAvAvnrUbRg.twitter" xr:uid="{00000000-0004-0000-0200-0000E2000000}"/>
    <hyperlink ref="S189" r:id="rId228" xr:uid="{00000000-0004-0000-0200-0000E3000000}"/>
    <hyperlink ref="F190" r:id="rId229" xr:uid="{00000000-0004-0000-0200-0000E4000000}"/>
    <hyperlink ref="F194" r:id="rId230" xr:uid="{00000000-0004-0000-0200-0000E5000000}"/>
    <hyperlink ref="F196" r:id="rId231" xr:uid="{00000000-0004-0000-0200-0000E6000000}"/>
    <hyperlink ref="F198" r:id="rId232" xr:uid="{00000000-0004-0000-0200-0000E7000000}"/>
    <hyperlink ref="F199" r:id="rId233" xr:uid="{00000000-0004-0000-0200-0000E8000000}"/>
    <hyperlink ref="G199" r:id="rId234" xr:uid="{00000000-0004-0000-0200-0000E9000000}"/>
    <hyperlink ref="F200" r:id="rId235" xr:uid="{00000000-0004-0000-0200-0000EA000000}"/>
    <hyperlink ref="F201" r:id="rId236" xr:uid="{00000000-0004-0000-0200-0000EB000000}"/>
    <hyperlink ref="F202" r:id="rId237" xr:uid="{00000000-0004-0000-0200-0000EC000000}"/>
    <hyperlink ref="S202" r:id="rId238" xr:uid="{00000000-0004-0000-0200-0000ED000000}"/>
    <hyperlink ref="G203" r:id="rId239" xr:uid="{00000000-0004-0000-0200-0000EE000000}"/>
    <hyperlink ref="F204" r:id="rId240" xr:uid="{00000000-0004-0000-0200-0000EF000000}"/>
    <hyperlink ref="S204" r:id="rId241" xr:uid="{00000000-0004-0000-0200-0000F0000000}"/>
    <hyperlink ref="F205" r:id="rId242" xr:uid="{00000000-0004-0000-0200-0000F1000000}"/>
    <hyperlink ref="G206" r:id="rId243" xr:uid="{00000000-0004-0000-0200-0000F2000000}"/>
    <hyperlink ref="F207" r:id="rId244" xr:uid="{00000000-0004-0000-0200-0000F3000000}"/>
    <hyperlink ref="S207" r:id="rId245" xr:uid="{00000000-0004-0000-0200-0000F4000000}"/>
    <hyperlink ref="F208" r:id="rId246" xr:uid="{00000000-0004-0000-0200-0000F5000000}"/>
    <hyperlink ref="S208" r:id="rId247" xr:uid="{00000000-0004-0000-0200-0000F6000000}"/>
    <hyperlink ref="F209" r:id="rId248" xr:uid="{00000000-0004-0000-0200-0000F7000000}"/>
    <hyperlink ref="F210" r:id="rId249" xr:uid="{00000000-0004-0000-0200-0000F8000000}"/>
    <hyperlink ref="F211" r:id="rId250" xr:uid="{00000000-0004-0000-0200-0000F9000000}"/>
    <hyperlink ref="F212" r:id="rId251" xr:uid="{00000000-0004-0000-0200-0000FA000000}"/>
    <hyperlink ref="F213" r:id="rId252" xr:uid="{00000000-0004-0000-0200-0000FB000000}"/>
    <hyperlink ref="F214" r:id="rId253" xr:uid="{00000000-0004-0000-0200-0000FC000000}"/>
    <hyperlink ref="S214" r:id="rId254" xr:uid="{00000000-0004-0000-0200-0000FD000000}"/>
    <hyperlink ref="F215" r:id="rId255" xr:uid="{00000000-0004-0000-0200-0000FE000000}"/>
    <hyperlink ref="F216" r:id="rId256" xr:uid="{00000000-0004-0000-0200-0000FF000000}"/>
    <hyperlink ref="S216" r:id="rId257" xr:uid="{00000000-0004-0000-0200-000000010000}"/>
    <hyperlink ref="F219" r:id="rId258" xr:uid="{00000000-0004-0000-0200-000001010000}"/>
    <hyperlink ref="G220" r:id="rId259" xr:uid="{00000000-0004-0000-0200-000002010000}"/>
    <hyperlink ref="S221" r:id="rId260" xr:uid="{00000000-0004-0000-0200-000003010000}"/>
    <hyperlink ref="F223" r:id="rId261" xr:uid="{00000000-0004-0000-0200-000004010000}"/>
    <hyperlink ref="G225" r:id="rId262" xr:uid="{00000000-0004-0000-0200-000005010000}"/>
    <hyperlink ref="S225" r:id="rId263" xr:uid="{00000000-0004-0000-0200-000006010000}"/>
    <hyperlink ref="F226" r:id="rId264" xr:uid="{00000000-0004-0000-0200-000007010000}"/>
    <hyperlink ref="F227" r:id="rId265" xr:uid="{00000000-0004-0000-0200-000008010000}"/>
    <hyperlink ref="F228" r:id="rId266" xr:uid="{00000000-0004-0000-0200-000009010000}"/>
    <hyperlink ref="G229" r:id="rId267" xr:uid="{00000000-0004-0000-0200-00000A010000}"/>
    <hyperlink ref="S229" r:id="rId268" xr:uid="{00000000-0004-0000-0200-00000B010000}"/>
    <hyperlink ref="F230" r:id="rId269" xr:uid="{00000000-0004-0000-0200-00000C010000}"/>
    <hyperlink ref="G230" r:id="rId270" xr:uid="{00000000-0004-0000-0200-00000D010000}"/>
    <hyperlink ref="F231" r:id="rId271" xr:uid="{00000000-0004-0000-0200-00000E010000}"/>
    <hyperlink ref="S231" r:id="rId272" xr:uid="{00000000-0004-0000-0200-00000F010000}"/>
    <hyperlink ref="F232" r:id="rId273" xr:uid="{00000000-0004-0000-0200-000010010000}"/>
    <hyperlink ref="F233" r:id="rId274" xr:uid="{00000000-0004-0000-0200-000011010000}"/>
    <hyperlink ref="F234" r:id="rId275" xr:uid="{00000000-0004-0000-0200-000012010000}"/>
    <hyperlink ref="F236" r:id="rId276" xr:uid="{00000000-0004-0000-0200-000013010000}"/>
    <hyperlink ref="F237" r:id="rId277" xr:uid="{00000000-0004-0000-0200-000014010000}"/>
    <hyperlink ref="F238" r:id="rId278" location=".XAu2SSz-quE.twitter" xr:uid="{00000000-0004-0000-0200-000015010000}"/>
    <hyperlink ref="S238" r:id="rId279" xr:uid="{00000000-0004-0000-0200-000016010000}"/>
    <hyperlink ref="F240" r:id="rId280" xr:uid="{00000000-0004-0000-0200-000017010000}"/>
    <hyperlink ref="S240" r:id="rId281" xr:uid="{00000000-0004-0000-0200-000018010000}"/>
    <hyperlink ref="F242" r:id="rId282" xr:uid="{00000000-0004-0000-0200-000019010000}"/>
    <hyperlink ref="F244" r:id="rId283" xr:uid="{00000000-0004-0000-0200-00001A010000}"/>
    <hyperlink ref="S245" r:id="rId284" xr:uid="{00000000-0004-0000-0200-00001B010000}"/>
    <hyperlink ref="F246" r:id="rId285" xr:uid="{00000000-0004-0000-0200-00001C010000}"/>
    <hyperlink ref="F247" r:id="rId286" xr:uid="{00000000-0004-0000-0200-00001D010000}"/>
    <hyperlink ref="F249" r:id="rId287" xr:uid="{00000000-0004-0000-0200-00001E010000}"/>
    <hyperlink ref="F250" r:id="rId288" xr:uid="{00000000-0004-0000-0200-00001F010000}"/>
    <hyperlink ref="F251" r:id="rId289" xr:uid="{00000000-0004-0000-0200-000020010000}"/>
    <hyperlink ref="S251" r:id="rId290" xr:uid="{00000000-0004-0000-0200-000021010000}"/>
    <hyperlink ref="F252" r:id="rId291" xr:uid="{00000000-0004-0000-0200-000022010000}"/>
    <hyperlink ref="F253" r:id="rId292" xr:uid="{00000000-0004-0000-0200-000023010000}"/>
    <hyperlink ref="F254" r:id="rId293" xr:uid="{00000000-0004-0000-0200-000024010000}"/>
    <hyperlink ref="F255" r:id="rId294" xr:uid="{00000000-0004-0000-0200-000025010000}"/>
    <hyperlink ref="S255" r:id="rId295" xr:uid="{00000000-0004-0000-0200-000026010000}"/>
    <hyperlink ref="S256" r:id="rId296" xr:uid="{00000000-0004-0000-0200-000027010000}"/>
    <hyperlink ref="F258" r:id="rId297" xr:uid="{00000000-0004-0000-0200-000028010000}"/>
    <hyperlink ref="F259" r:id="rId298" xr:uid="{00000000-0004-0000-0200-000029010000}"/>
    <hyperlink ref="S259" r:id="rId299" xr:uid="{00000000-0004-0000-0200-00002A010000}"/>
    <hyperlink ref="F260" r:id="rId300" xr:uid="{00000000-0004-0000-0200-00002B010000}"/>
    <hyperlink ref="S260" r:id="rId301" xr:uid="{00000000-0004-0000-0200-00002C010000}"/>
    <hyperlink ref="F262" r:id="rId302" xr:uid="{00000000-0004-0000-0200-00002D010000}"/>
    <hyperlink ref="S262" r:id="rId303" xr:uid="{00000000-0004-0000-0200-00002E010000}"/>
    <hyperlink ref="F263" r:id="rId304" xr:uid="{00000000-0004-0000-0200-00002F010000}"/>
    <hyperlink ref="G263" r:id="rId305" xr:uid="{00000000-0004-0000-0200-000030010000}"/>
    <hyperlink ref="F264" r:id="rId306" xr:uid="{00000000-0004-0000-0200-000031010000}"/>
    <hyperlink ref="F265" r:id="rId307" xr:uid="{00000000-0004-0000-0200-000032010000}"/>
    <hyperlink ref="F266" r:id="rId308" xr:uid="{00000000-0004-0000-0200-000033010000}"/>
    <hyperlink ref="S266" r:id="rId309" xr:uid="{00000000-0004-0000-0200-000034010000}"/>
    <hyperlink ref="F267" r:id="rId310" xr:uid="{00000000-0004-0000-0200-000035010000}"/>
    <hyperlink ref="G267" r:id="rId311" xr:uid="{00000000-0004-0000-0200-000036010000}"/>
    <hyperlink ref="S267" r:id="rId312" xr:uid="{00000000-0004-0000-0200-000037010000}"/>
    <hyperlink ref="C268" r:id="rId313" xr:uid="{00000000-0004-0000-0200-000038010000}"/>
    <hyperlink ref="F268" r:id="rId314" xr:uid="{00000000-0004-0000-0200-000039010000}"/>
    <hyperlink ref="S268" r:id="rId315" xr:uid="{00000000-0004-0000-0200-00003A010000}"/>
    <hyperlink ref="G269" r:id="rId316" xr:uid="{00000000-0004-0000-0200-00003B010000}"/>
    <hyperlink ref="F270" r:id="rId317" location=".XAuyQC6KoRk.twitter" xr:uid="{00000000-0004-0000-0200-00003C010000}"/>
    <hyperlink ref="S270" r:id="rId318" xr:uid="{00000000-0004-0000-0200-00003D010000}"/>
    <hyperlink ref="G271" r:id="rId319" xr:uid="{00000000-0004-0000-0200-00003E010000}"/>
    <hyperlink ref="F274" r:id="rId320" xr:uid="{00000000-0004-0000-0200-00003F010000}"/>
    <hyperlink ref="F275" r:id="rId321" xr:uid="{00000000-0004-0000-0200-000040010000}"/>
    <hyperlink ref="F276" r:id="rId322" xr:uid="{00000000-0004-0000-0200-000041010000}"/>
    <hyperlink ref="F277" r:id="rId323" xr:uid="{00000000-0004-0000-0200-000042010000}"/>
    <hyperlink ref="F279" r:id="rId324" xr:uid="{00000000-0004-0000-0200-000043010000}"/>
    <hyperlink ref="G280" r:id="rId325" xr:uid="{00000000-0004-0000-0200-000044010000}"/>
    <hyperlink ref="F282" r:id="rId326" location=".XAuvpMPf9TQ.twitter" xr:uid="{00000000-0004-0000-0200-000045010000}"/>
    <hyperlink ref="S282" r:id="rId327" xr:uid="{00000000-0004-0000-0200-000046010000}"/>
    <hyperlink ref="F284" r:id="rId328" xr:uid="{00000000-0004-0000-0200-000047010000}"/>
    <hyperlink ref="S284" r:id="rId329" xr:uid="{00000000-0004-0000-0200-000048010000}"/>
    <hyperlink ref="F285" r:id="rId330" xr:uid="{00000000-0004-0000-0200-000049010000}"/>
    <hyperlink ref="F286" r:id="rId331" xr:uid="{00000000-0004-0000-0200-00004A010000}"/>
    <hyperlink ref="S287" r:id="rId332" xr:uid="{00000000-0004-0000-0200-00004B010000}"/>
    <hyperlink ref="F288" r:id="rId333" xr:uid="{00000000-0004-0000-0200-00004C010000}"/>
    <hyperlink ref="F289" r:id="rId334" location="ns_campaign=rrss-inducido&amp;ns_mchannel=abcdesevilla-es&amp;ns_source=tw&amp;ns_linkname=noticia-video&amp;ns_fee=0" xr:uid="{00000000-0004-0000-0200-00004D010000}"/>
    <hyperlink ref="F290" r:id="rId335" xr:uid="{00000000-0004-0000-0200-00004E010000}"/>
    <hyperlink ref="F291" r:id="rId336" xr:uid="{00000000-0004-0000-0200-00004F010000}"/>
    <hyperlink ref="F293" r:id="rId337" location=".XAutJLgSae4.twitter" xr:uid="{00000000-0004-0000-0200-000050010000}"/>
    <hyperlink ref="S293" r:id="rId338" xr:uid="{00000000-0004-0000-0200-000051010000}"/>
    <hyperlink ref="F294" r:id="rId339" location=".XAus4O6slKw.twitter" xr:uid="{00000000-0004-0000-0200-000052010000}"/>
    <hyperlink ref="S294" r:id="rId340" xr:uid="{00000000-0004-0000-0200-000053010000}"/>
    <hyperlink ref="F295" r:id="rId341" xr:uid="{00000000-0004-0000-0200-000054010000}"/>
    <hyperlink ref="F296" r:id="rId342" xr:uid="{00000000-0004-0000-0200-000055010000}"/>
    <hyperlink ref="F298" r:id="rId343" xr:uid="{00000000-0004-0000-0200-000056010000}"/>
    <hyperlink ref="S298" r:id="rId344" xr:uid="{00000000-0004-0000-0200-000057010000}"/>
    <hyperlink ref="F300" r:id="rId345" xr:uid="{00000000-0004-0000-0200-000058010000}"/>
    <hyperlink ref="F301" r:id="rId346" xr:uid="{00000000-0004-0000-0200-000059010000}"/>
    <hyperlink ref="F303" r:id="rId347" xr:uid="{00000000-0004-0000-0200-00005A010000}"/>
    <hyperlink ref="S303" r:id="rId348" xr:uid="{00000000-0004-0000-0200-00005B010000}"/>
    <hyperlink ref="F304" r:id="rId349" xr:uid="{00000000-0004-0000-0200-00005C010000}"/>
    <hyperlink ref="F305" r:id="rId350" xr:uid="{00000000-0004-0000-0200-00005D010000}"/>
    <hyperlink ref="F306" r:id="rId351" xr:uid="{00000000-0004-0000-0200-00005E010000}"/>
    <hyperlink ref="F307" r:id="rId352" xr:uid="{00000000-0004-0000-0200-00005F010000}"/>
    <hyperlink ref="S307" r:id="rId353" xr:uid="{00000000-0004-0000-0200-000060010000}"/>
    <hyperlink ref="F309" r:id="rId354" xr:uid="{00000000-0004-0000-0200-000061010000}"/>
    <hyperlink ref="S309" r:id="rId355" xr:uid="{00000000-0004-0000-0200-000062010000}"/>
    <hyperlink ref="F310" r:id="rId356" xr:uid="{00000000-0004-0000-0200-000063010000}"/>
    <hyperlink ref="F311" r:id="rId357" xr:uid="{00000000-0004-0000-0200-000064010000}"/>
    <hyperlink ref="F313" r:id="rId358" xr:uid="{00000000-0004-0000-0200-000065010000}"/>
    <hyperlink ref="G313" r:id="rId359" xr:uid="{00000000-0004-0000-0200-000066010000}"/>
    <hyperlink ref="F314" r:id="rId360" xr:uid="{00000000-0004-0000-0200-000067010000}"/>
    <hyperlink ref="G314" r:id="rId361" xr:uid="{00000000-0004-0000-0200-000068010000}"/>
    <hyperlink ref="F315" r:id="rId362" xr:uid="{00000000-0004-0000-0200-000069010000}"/>
    <hyperlink ref="F317" r:id="rId363" xr:uid="{00000000-0004-0000-0200-00006A010000}"/>
    <hyperlink ref="S317" r:id="rId364" xr:uid="{00000000-0004-0000-0200-00006B010000}"/>
    <hyperlink ref="G320" r:id="rId365" xr:uid="{00000000-0004-0000-0200-00006C010000}"/>
    <hyperlink ref="F321" r:id="rId366" xr:uid="{00000000-0004-0000-0200-00006D010000}"/>
    <hyperlink ref="G322" r:id="rId367" xr:uid="{00000000-0004-0000-0200-00006E010000}"/>
    <hyperlink ref="F323" r:id="rId368" xr:uid="{00000000-0004-0000-0200-00006F010000}"/>
    <hyperlink ref="F324" r:id="rId369" xr:uid="{00000000-0004-0000-0200-000070010000}"/>
    <hyperlink ref="G325" r:id="rId370" xr:uid="{00000000-0004-0000-0200-000071010000}"/>
    <hyperlink ref="F326" r:id="rId371" xr:uid="{00000000-0004-0000-0200-000072010000}"/>
    <hyperlink ref="G328" r:id="rId372" xr:uid="{00000000-0004-0000-0200-000073010000}"/>
    <hyperlink ref="F329" r:id="rId373" xr:uid="{00000000-0004-0000-0200-000074010000}"/>
    <hyperlink ref="S329" r:id="rId374" xr:uid="{00000000-0004-0000-0200-000075010000}"/>
    <hyperlink ref="F330" r:id="rId375" xr:uid="{00000000-0004-0000-0200-000076010000}"/>
    <hyperlink ref="F331" r:id="rId376" xr:uid="{00000000-0004-0000-0200-000077010000}"/>
    <hyperlink ref="F333" r:id="rId377" xr:uid="{00000000-0004-0000-0200-000078010000}"/>
    <hyperlink ref="F334" r:id="rId378" xr:uid="{00000000-0004-0000-0200-000079010000}"/>
    <hyperlink ref="G335" r:id="rId379" xr:uid="{00000000-0004-0000-0200-00007A010000}"/>
    <hyperlink ref="G336" r:id="rId380" xr:uid="{00000000-0004-0000-0200-00007B010000}"/>
    <hyperlink ref="G337" r:id="rId381" xr:uid="{00000000-0004-0000-0200-00007C010000}"/>
    <hyperlink ref="S337" r:id="rId382" xr:uid="{00000000-0004-0000-0200-00007D010000}"/>
    <hyperlink ref="F338" r:id="rId383" xr:uid="{00000000-0004-0000-0200-00007E010000}"/>
    <hyperlink ref="S338" r:id="rId384" xr:uid="{00000000-0004-0000-0200-00007F010000}"/>
    <hyperlink ref="F339" r:id="rId385" xr:uid="{00000000-0004-0000-0200-000080010000}"/>
    <hyperlink ref="F340" r:id="rId386" xr:uid="{00000000-0004-0000-0200-000081010000}"/>
    <hyperlink ref="G340" r:id="rId387" xr:uid="{00000000-0004-0000-0200-000082010000}"/>
    <hyperlink ref="F341" r:id="rId388" xr:uid="{00000000-0004-0000-0200-000083010000}"/>
    <hyperlink ref="G341" r:id="rId389" xr:uid="{00000000-0004-0000-0200-000084010000}"/>
    <hyperlink ref="S341" r:id="rId390" xr:uid="{00000000-0004-0000-0200-000085010000}"/>
    <hyperlink ref="F343" r:id="rId391" xr:uid="{00000000-0004-0000-0200-000086010000}"/>
    <hyperlink ref="F344" r:id="rId392" xr:uid="{00000000-0004-0000-0200-000087010000}"/>
    <hyperlink ref="S344" r:id="rId393" xr:uid="{00000000-0004-0000-0200-000088010000}"/>
    <hyperlink ref="F345" r:id="rId394" xr:uid="{00000000-0004-0000-0200-000089010000}"/>
    <hyperlink ref="S345" r:id="rId395" xr:uid="{00000000-0004-0000-0200-00008A010000}"/>
    <hyperlink ref="F346" r:id="rId396" xr:uid="{00000000-0004-0000-0200-00008B010000}"/>
    <hyperlink ref="G346" r:id="rId397" xr:uid="{00000000-0004-0000-0200-00008C010000}"/>
    <hyperlink ref="F347" r:id="rId398" xr:uid="{00000000-0004-0000-0200-00008D010000}"/>
    <hyperlink ref="F348" r:id="rId399" xr:uid="{00000000-0004-0000-0200-00008E010000}"/>
    <hyperlink ref="F350" r:id="rId400" xr:uid="{00000000-0004-0000-0200-00008F010000}"/>
    <hyperlink ref="F351" r:id="rId401" xr:uid="{00000000-0004-0000-0200-000090010000}"/>
    <hyperlink ref="F352" r:id="rId402" xr:uid="{00000000-0004-0000-0200-000091010000}"/>
    <hyperlink ref="S355" r:id="rId403" xr:uid="{00000000-0004-0000-0200-000092010000}"/>
    <hyperlink ref="G356" r:id="rId404" xr:uid="{00000000-0004-0000-0200-000093010000}"/>
    <hyperlink ref="F357" r:id="rId405" xr:uid="{00000000-0004-0000-0200-000094010000}"/>
    <hyperlink ref="G357" r:id="rId406" xr:uid="{00000000-0004-0000-0200-000095010000}"/>
    <hyperlink ref="F358" r:id="rId407" xr:uid="{00000000-0004-0000-0200-000096010000}"/>
    <hyperlink ref="S360" r:id="rId408" xr:uid="{00000000-0004-0000-0200-000097010000}"/>
    <hyperlink ref="F361" r:id="rId409" xr:uid="{00000000-0004-0000-0200-000098010000}"/>
    <hyperlink ref="G361" r:id="rId410" xr:uid="{00000000-0004-0000-0200-000099010000}"/>
    <hyperlink ref="S361" r:id="rId411" xr:uid="{00000000-0004-0000-0200-00009A010000}"/>
    <hyperlink ref="F362" r:id="rId412" xr:uid="{00000000-0004-0000-0200-00009B010000}"/>
    <hyperlink ref="F364" r:id="rId413" xr:uid="{00000000-0004-0000-0200-00009C010000}"/>
    <hyperlink ref="F366" r:id="rId414" location="ns_campaign=rrss-inducido&amp;ns_mchannel=abcdesevilla-es&amp;ns_source=tw&amp;ns_linkname=noticia-video&amp;ns_fee=0" xr:uid="{00000000-0004-0000-0200-00009D010000}"/>
    <hyperlink ref="F367" r:id="rId415" xr:uid="{00000000-0004-0000-0200-00009E010000}"/>
    <hyperlink ref="F369" r:id="rId416" xr:uid="{00000000-0004-0000-0200-00009F010000}"/>
    <hyperlink ref="G369" r:id="rId417" xr:uid="{00000000-0004-0000-0200-0000A0010000}"/>
    <hyperlink ref="F370" r:id="rId418" xr:uid="{00000000-0004-0000-0200-0000A1010000}"/>
    <hyperlink ref="F371" r:id="rId419" xr:uid="{00000000-0004-0000-0200-0000A2010000}"/>
    <hyperlink ref="F372" r:id="rId420" location=".XAua4IRVbjc.twitter" xr:uid="{00000000-0004-0000-0200-0000A3010000}"/>
    <hyperlink ref="F373" r:id="rId421" xr:uid="{00000000-0004-0000-0200-0000A4010000}"/>
    <hyperlink ref="S374" r:id="rId422" xr:uid="{00000000-0004-0000-0200-0000A5010000}"/>
    <hyperlink ref="G375" r:id="rId423" xr:uid="{00000000-0004-0000-0200-0000A6010000}"/>
    <hyperlink ref="F376" r:id="rId424" xr:uid="{00000000-0004-0000-0200-0000A7010000}"/>
    <hyperlink ref="G376" r:id="rId425" xr:uid="{00000000-0004-0000-0200-0000A8010000}"/>
    <hyperlink ref="F377" r:id="rId426" xr:uid="{00000000-0004-0000-0200-0000A9010000}"/>
    <hyperlink ref="G377" r:id="rId427" xr:uid="{00000000-0004-0000-0200-0000AA010000}"/>
    <hyperlink ref="F378" r:id="rId428" location=".XAuZBuXj6MZ.twitter" xr:uid="{00000000-0004-0000-0200-0000AB010000}"/>
    <hyperlink ref="F379" r:id="rId429" xr:uid="{00000000-0004-0000-0200-0000AC010000}"/>
    <hyperlink ref="F380" r:id="rId430" xr:uid="{00000000-0004-0000-0200-0000AD010000}"/>
    <hyperlink ref="F381" r:id="rId431" xr:uid="{00000000-0004-0000-0200-0000AE010000}"/>
    <hyperlink ref="F382" r:id="rId432" xr:uid="{00000000-0004-0000-0200-0000AF010000}"/>
    <hyperlink ref="G383" r:id="rId433" xr:uid="{00000000-0004-0000-0200-0000B0010000}"/>
    <hyperlink ref="S383" r:id="rId434" xr:uid="{00000000-0004-0000-0200-0000B1010000}"/>
    <hyperlink ref="F384" r:id="rId435" xr:uid="{00000000-0004-0000-0200-0000B2010000}"/>
    <hyperlink ref="F385" r:id="rId436" xr:uid="{00000000-0004-0000-0200-0000B3010000}"/>
    <hyperlink ref="F386" r:id="rId437" xr:uid="{00000000-0004-0000-0200-0000B4010000}"/>
    <hyperlink ref="S386" r:id="rId438" xr:uid="{00000000-0004-0000-0200-0000B5010000}"/>
    <hyperlink ref="F387" r:id="rId439" xr:uid="{00000000-0004-0000-0200-0000B6010000}"/>
    <hyperlink ref="G387" r:id="rId440" xr:uid="{00000000-0004-0000-0200-0000B7010000}"/>
    <hyperlink ref="F388" r:id="rId441" xr:uid="{00000000-0004-0000-0200-0000B8010000}"/>
    <hyperlink ref="F389" r:id="rId442" xr:uid="{00000000-0004-0000-0200-0000B9010000}"/>
    <hyperlink ref="F390" r:id="rId443" xr:uid="{00000000-0004-0000-0200-0000BA010000}"/>
    <hyperlink ref="G390" r:id="rId444" xr:uid="{00000000-0004-0000-0200-0000BB010000}"/>
    <hyperlink ref="S390" r:id="rId445" xr:uid="{00000000-0004-0000-0200-0000BC010000}"/>
    <hyperlink ref="F391" r:id="rId446" xr:uid="{00000000-0004-0000-0200-0000BD010000}"/>
    <hyperlink ref="F393" r:id="rId447" xr:uid="{00000000-0004-0000-0200-0000BE010000}"/>
    <hyperlink ref="F394" r:id="rId448" xr:uid="{00000000-0004-0000-0200-0000BF010000}"/>
    <hyperlink ref="S394" r:id="rId449" xr:uid="{00000000-0004-0000-0200-0000C0010000}"/>
    <hyperlink ref="F395" r:id="rId450" xr:uid="{00000000-0004-0000-0200-0000C1010000}"/>
    <hyperlink ref="F396" r:id="rId451" xr:uid="{00000000-0004-0000-0200-0000C2010000}"/>
    <hyperlink ref="F397" r:id="rId452" xr:uid="{00000000-0004-0000-0200-0000C3010000}"/>
    <hyperlink ref="F398" r:id="rId453" xr:uid="{00000000-0004-0000-0200-0000C4010000}"/>
    <hyperlink ref="S398" r:id="rId454" xr:uid="{00000000-0004-0000-0200-0000C5010000}"/>
    <hyperlink ref="F399" r:id="rId455" xr:uid="{00000000-0004-0000-0200-0000C6010000}"/>
    <hyperlink ref="G399" r:id="rId456" xr:uid="{00000000-0004-0000-0200-0000C7010000}"/>
    <hyperlink ref="S399" r:id="rId457" xr:uid="{00000000-0004-0000-0200-0000C8010000}"/>
    <hyperlink ref="F400" r:id="rId458" xr:uid="{00000000-0004-0000-0200-0000C9010000}"/>
    <hyperlink ref="G400" r:id="rId459" xr:uid="{00000000-0004-0000-0200-0000CA010000}"/>
    <hyperlink ref="F401" r:id="rId460" xr:uid="{00000000-0004-0000-0200-0000CB010000}"/>
    <hyperlink ref="F402" r:id="rId461" xr:uid="{00000000-0004-0000-0200-0000CC010000}"/>
    <hyperlink ref="F404" r:id="rId462" xr:uid="{00000000-0004-0000-0200-0000CD010000}"/>
    <hyperlink ref="S404" r:id="rId463" xr:uid="{00000000-0004-0000-0200-0000CE010000}"/>
    <hyperlink ref="F406" r:id="rId464" xr:uid="{00000000-0004-0000-0200-0000CF010000}"/>
    <hyperlink ref="S406" r:id="rId465" xr:uid="{00000000-0004-0000-0200-0000D0010000}"/>
    <hyperlink ref="F407" r:id="rId466" xr:uid="{00000000-0004-0000-0200-0000D1010000}"/>
    <hyperlink ref="F409" r:id="rId467" xr:uid="{00000000-0004-0000-0200-0000D2010000}"/>
    <hyperlink ref="S409" r:id="rId468" xr:uid="{00000000-0004-0000-0200-0000D3010000}"/>
    <hyperlink ref="F410" r:id="rId469" xr:uid="{00000000-0004-0000-0200-0000D4010000}"/>
    <hyperlink ref="F412" r:id="rId470" xr:uid="{00000000-0004-0000-0200-0000D5010000}"/>
    <hyperlink ref="F413" r:id="rId471" xr:uid="{00000000-0004-0000-0200-0000D6010000}"/>
    <hyperlink ref="F414" r:id="rId472" xr:uid="{00000000-0004-0000-0200-0000D7010000}"/>
    <hyperlink ref="S414" r:id="rId473" xr:uid="{00000000-0004-0000-0200-0000D8010000}"/>
    <hyperlink ref="F415" r:id="rId474" xr:uid="{00000000-0004-0000-0200-0000D9010000}"/>
    <hyperlink ref="F416" r:id="rId475" xr:uid="{00000000-0004-0000-0200-0000DA010000}"/>
    <hyperlink ref="G416" r:id="rId476" xr:uid="{00000000-0004-0000-0200-0000DB010000}"/>
    <hyperlink ref="F417" r:id="rId477" xr:uid="{00000000-0004-0000-0200-0000DC010000}"/>
    <hyperlink ref="G417" r:id="rId478" xr:uid="{00000000-0004-0000-0200-0000DD010000}"/>
    <hyperlink ref="F418" r:id="rId479" location="ns_campaign=rrss-inducido&amp;ns_mchannel=abc-es&amp;ns_source=tw&amp;ns_linkname=noticia-foto&amp;ns_fee=0" xr:uid="{00000000-0004-0000-0200-0000DE010000}"/>
    <hyperlink ref="F419" r:id="rId480" xr:uid="{00000000-0004-0000-0200-0000DF010000}"/>
    <hyperlink ref="S419" r:id="rId481" xr:uid="{00000000-0004-0000-0200-0000E0010000}"/>
    <hyperlink ref="F420" r:id="rId482" xr:uid="{00000000-0004-0000-0200-0000E1010000}"/>
    <hyperlink ref="S421" r:id="rId483" xr:uid="{00000000-0004-0000-0200-0000E2010000}"/>
    <hyperlink ref="F422" r:id="rId484" xr:uid="{00000000-0004-0000-0200-0000E3010000}"/>
    <hyperlink ref="G422" r:id="rId485" xr:uid="{00000000-0004-0000-0200-0000E4010000}"/>
    <hyperlink ref="S422" r:id="rId486" xr:uid="{00000000-0004-0000-0200-0000E5010000}"/>
    <hyperlink ref="F423" r:id="rId487" xr:uid="{00000000-0004-0000-0200-0000E6010000}"/>
    <hyperlink ref="G423" r:id="rId488" xr:uid="{00000000-0004-0000-0200-0000E7010000}"/>
    <hyperlink ref="S423" r:id="rId489" xr:uid="{00000000-0004-0000-0200-0000E8010000}"/>
    <hyperlink ref="S424" r:id="rId490" xr:uid="{00000000-0004-0000-0200-0000E9010000}"/>
    <hyperlink ref="F425" r:id="rId491" xr:uid="{00000000-0004-0000-0200-0000EA010000}"/>
    <hyperlink ref="F426" r:id="rId492" xr:uid="{00000000-0004-0000-0200-0000EB010000}"/>
    <hyperlink ref="S426" r:id="rId493" xr:uid="{00000000-0004-0000-0200-0000EC010000}"/>
    <hyperlink ref="F427" r:id="rId494" xr:uid="{00000000-0004-0000-0200-0000ED010000}"/>
    <hyperlink ref="F428" r:id="rId495" xr:uid="{00000000-0004-0000-0200-0000EE010000}"/>
    <hyperlink ref="F429" r:id="rId496" xr:uid="{00000000-0004-0000-0200-0000EF010000}"/>
    <hyperlink ref="S429" r:id="rId497" xr:uid="{00000000-0004-0000-0200-0000F0010000}"/>
    <hyperlink ref="F430" r:id="rId498" xr:uid="{00000000-0004-0000-0200-0000F1010000}"/>
    <hyperlink ref="S430" r:id="rId499" xr:uid="{00000000-0004-0000-0200-0000F2010000}"/>
    <hyperlink ref="F431" r:id="rId500" xr:uid="{00000000-0004-0000-0200-0000F3010000}"/>
    <hyperlink ref="S431" r:id="rId501" xr:uid="{00000000-0004-0000-0200-0000F4010000}"/>
    <hyperlink ref="F432" r:id="rId502" xr:uid="{00000000-0004-0000-0200-0000F5010000}"/>
    <hyperlink ref="S432" r:id="rId503" xr:uid="{00000000-0004-0000-0200-0000F6010000}"/>
    <hyperlink ref="F433" r:id="rId504" xr:uid="{00000000-0004-0000-0200-0000F7010000}"/>
    <hyperlink ref="S433" r:id="rId505" xr:uid="{00000000-0004-0000-0200-0000F8010000}"/>
    <hyperlink ref="F434" r:id="rId506" xr:uid="{00000000-0004-0000-0200-0000F9010000}"/>
    <hyperlink ref="F435" r:id="rId507" xr:uid="{00000000-0004-0000-0200-0000FA010000}"/>
    <hyperlink ref="S435" r:id="rId508" xr:uid="{00000000-0004-0000-0200-0000FB010000}"/>
    <hyperlink ref="F436" r:id="rId509" xr:uid="{00000000-0004-0000-0200-0000FC010000}"/>
    <hyperlink ref="F437" r:id="rId510" xr:uid="{00000000-0004-0000-0200-0000FD010000}"/>
    <hyperlink ref="F438" r:id="rId511" xr:uid="{00000000-0004-0000-0200-0000FE010000}"/>
    <hyperlink ref="F439" r:id="rId512" xr:uid="{00000000-0004-0000-0200-0000FF010000}"/>
    <hyperlink ref="F442" r:id="rId513" xr:uid="{00000000-0004-0000-0200-000000020000}"/>
    <hyperlink ref="S442" r:id="rId514" xr:uid="{00000000-0004-0000-0200-000001020000}"/>
    <hyperlink ref="F447" r:id="rId515" xr:uid="{00000000-0004-0000-0200-000002020000}"/>
    <hyperlink ref="F448" r:id="rId516" xr:uid="{00000000-0004-0000-0200-000003020000}"/>
    <hyperlink ref="F450" r:id="rId517" xr:uid="{00000000-0004-0000-0200-000004020000}"/>
    <hyperlink ref="F451" r:id="rId518" xr:uid="{00000000-0004-0000-0200-000005020000}"/>
    <hyperlink ref="F452" r:id="rId519" xr:uid="{00000000-0004-0000-0200-000006020000}"/>
    <hyperlink ref="F454" r:id="rId520" xr:uid="{00000000-0004-0000-0200-000007020000}"/>
    <hyperlink ref="F455" r:id="rId521" xr:uid="{00000000-0004-0000-0200-000008020000}"/>
    <hyperlink ref="F456" r:id="rId522" xr:uid="{00000000-0004-0000-0200-000009020000}"/>
    <hyperlink ref="F457" r:id="rId523" location=".XAuI7stk3lq.twitter" xr:uid="{00000000-0004-0000-0200-00000A020000}"/>
    <hyperlink ref="F458" r:id="rId524" xr:uid="{00000000-0004-0000-0200-00000B020000}"/>
    <hyperlink ref="S459" r:id="rId525" xr:uid="{00000000-0004-0000-0200-00000C020000}"/>
    <hyperlink ref="F460" r:id="rId526" xr:uid="{00000000-0004-0000-0200-00000D020000}"/>
    <hyperlink ref="G460" r:id="rId527" xr:uid="{00000000-0004-0000-0200-00000E020000}"/>
    <hyperlink ref="F461" r:id="rId528" xr:uid="{00000000-0004-0000-0200-00000F020000}"/>
    <hyperlink ref="F463" r:id="rId529" xr:uid="{00000000-0004-0000-0200-000010020000}"/>
    <hyperlink ref="G463" r:id="rId530" xr:uid="{00000000-0004-0000-0200-000011020000}"/>
    <hyperlink ref="F464" r:id="rId531" xr:uid="{00000000-0004-0000-0200-000012020000}"/>
    <hyperlink ref="G464" r:id="rId532" xr:uid="{00000000-0004-0000-0200-000013020000}"/>
    <hyperlink ref="F466" r:id="rId533" xr:uid="{00000000-0004-0000-0200-000014020000}"/>
    <hyperlink ref="S466" r:id="rId534" xr:uid="{00000000-0004-0000-0200-000015020000}"/>
    <hyperlink ref="F468" r:id="rId535" xr:uid="{00000000-0004-0000-0200-000016020000}"/>
    <hyperlink ref="F469" r:id="rId536" xr:uid="{00000000-0004-0000-0200-000017020000}"/>
    <hyperlink ref="S469" r:id="rId537" xr:uid="{00000000-0004-0000-0200-000018020000}"/>
    <hyperlink ref="F471" r:id="rId538" xr:uid="{00000000-0004-0000-0200-000019020000}"/>
    <hyperlink ref="G472" r:id="rId539" xr:uid="{00000000-0004-0000-0200-00001A020000}"/>
    <hyperlink ref="F475" r:id="rId540" xr:uid="{00000000-0004-0000-0200-00001B020000}"/>
    <hyperlink ref="G475" r:id="rId541" xr:uid="{00000000-0004-0000-0200-00001C020000}"/>
    <hyperlink ref="F476" r:id="rId542" xr:uid="{00000000-0004-0000-0200-00001D020000}"/>
    <hyperlink ref="F477" r:id="rId543" xr:uid="{00000000-0004-0000-0200-00001E020000}"/>
    <hyperlink ref="F478" r:id="rId544" xr:uid="{00000000-0004-0000-0200-00001F020000}"/>
    <hyperlink ref="F479" r:id="rId545" xr:uid="{00000000-0004-0000-0200-000020020000}"/>
    <hyperlink ref="F480" r:id="rId546" xr:uid="{00000000-0004-0000-0200-000021020000}"/>
    <hyperlink ref="F481" r:id="rId547" xr:uid="{00000000-0004-0000-0200-000022020000}"/>
    <hyperlink ref="F482" r:id="rId548" xr:uid="{00000000-0004-0000-0200-000023020000}"/>
    <hyperlink ref="F483" r:id="rId549" xr:uid="{00000000-0004-0000-0200-000024020000}"/>
    <hyperlink ref="F484" r:id="rId550" xr:uid="{00000000-0004-0000-0200-000025020000}"/>
    <hyperlink ref="F486" r:id="rId551" xr:uid="{00000000-0004-0000-0200-000026020000}"/>
    <hyperlink ref="F488" r:id="rId552" xr:uid="{00000000-0004-0000-0200-000027020000}"/>
    <hyperlink ref="G488" r:id="rId553" xr:uid="{00000000-0004-0000-0200-000028020000}"/>
    <hyperlink ref="F489" r:id="rId554" xr:uid="{00000000-0004-0000-0200-000029020000}"/>
    <hyperlink ref="F490" r:id="rId555" xr:uid="{00000000-0004-0000-0200-00002A020000}"/>
    <hyperlink ref="R490" r:id="rId556" xr:uid="{00000000-0004-0000-0200-00002B020000}"/>
    <hyperlink ref="S490" r:id="rId557" xr:uid="{00000000-0004-0000-0200-00002C020000}"/>
    <hyperlink ref="G491" r:id="rId558" xr:uid="{00000000-0004-0000-0200-00002D020000}"/>
    <hyperlink ref="S491" r:id="rId559" xr:uid="{00000000-0004-0000-0200-00002E020000}"/>
    <hyperlink ref="F493" r:id="rId560" xr:uid="{00000000-0004-0000-0200-00002F020000}"/>
    <hyperlink ref="S493" r:id="rId561" xr:uid="{00000000-0004-0000-0200-000030020000}"/>
    <hyperlink ref="G494" r:id="rId562" xr:uid="{00000000-0004-0000-0200-000031020000}"/>
    <hyperlink ref="F498" r:id="rId563" xr:uid="{00000000-0004-0000-0200-000032020000}"/>
    <hyperlink ref="G498" r:id="rId564" xr:uid="{00000000-0004-0000-0200-000033020000}"/>
    <hyperlink ref="F499" r:id="rId565" xr:uid="{00000000-0004-0000-0200-000034020000}"/>
    <hyperlink ref="G499" r:id="rId566" xr:uid="{00000000-0004-0000-0200-000035020000}"/>
    <hyperlink ref="F500" r:id="rId567" xr:uid="{00000000-0004-0000-0200-000036020000}"/>
    <hyperlink ref="F501" r:id="rId568" xr:uid="{00000000-0004-0000-0200-000037020000}"/>
    <hyperlink ref="S501" r:id="rId569" xr:uid="{00000000-0004-0000-0200-000038020000}"/>
    <hyperlink ref="F504" r:id="rId570" xr:uid="{00000000-0004-0000-0200-000039020000}"/>
    <hyperlink ref="F505" r:id="rId571" xr:uid="{00000000-0004-0000-0200-00003A020000}"/>
    <hyperlink ref="F506" r:id="rId572" xr:uid="{00000000-0004-0000-0200-00003B020000}"/>
    <hyperlink ref="G506" r:id="rId573" xr:uid="{00000000-0004-0000-0200-00003C020000}"/>
    <hyperlink ref="F507" r:id="rId574" xr:uid="{00000000-0004-0000-0200-00003D020000}"/>
    <hyperlink ref="G507" r:id="rId575" xr:uid="{00000000-0004-0000-0200-00003E020000}"/>
    <hyperlink ref="S507" r:id="rId576" xr:uid="{00000000-0004-0000-0200-00003F020000}"/>
    <hyperlink ref="F508" r:id="rId577" xr:uid="{00000000-0004-0000-0200-000040020000}"/>
    <hyperlink ref="S508" r:id="rId578" xr:uid="{00000000-0004-0000-0200-000041020000}"/>
    <hyperlink ref="F509" r:id="rId579" xr:uid="{00000000-0004-0000-0200-000042020000}"/>
    <hyperlink ref="S509" r:id="rId580" xr:uid="{00000000-0004-0000-0200-000043020000}"/>
    <hyperlink ref="F510" r:id="rId581" xr:uid="{00000000-0004-0000-0200-000044020000}"/>
    <hyperlink ref="S510" r:id="rId582" xr:uid="{00000000-0004-0000-0200-000045020000}"/>
    <hyperlink ref="F511" r:id="rId583" xr:uid="{00000000-0004-0000-0200-000046020000}"/>
    <hyperlink ref="S511" r:id="rId584" xr:uid="{00000000-0004-0000-0200-000047020000}"/>
    <hyperlink ref="F512" r:id="rId585" xr:uid="{00000000-0004-0000-0200-000048020000}"/>
    <hyperlink ref="G512" r:id="rId586" xr:uid="{00000000-0004-0000-0200-000049020000}"/>
    <hyperlink ref="F513" r:id="rId587" xr:uid="{00000000-0004-0000-0200-00004A020000}"/>
    <hyperlink ref="G513" r:id="rId588" xr:uid="{00000000-0004-0000-0200-00004B020000}"/>
    <hyperlink ref="G515" r:id="rId589" xr:uid="{00000000-0004-0000-0200-00004C020000}"/>
    <hyperlink ref="S515" r:id="rId590" xr:uid="{00000000-0004-0000-0200-00004D020000}"/>
    <hyperlink ref="F516" r:id="rId591" xr:uid="{00000000-0004-0000-0200-00004E020000}"/>
    <hyperlink ref="F517" r:id="rId592" xr:uid="{00000000-0004-0000-0200-00004F020000}"/>
    <hyperlink ref="F518" r:id="rId593" xr:uid="{00000000-0004-0000-0200-000050020000}"/>
    <hyperlink ref="F519" r:id="rId594" xr:uid="{00000000-0004-0000-0200-000051020000}"/>
    <hyperlink ref="S519" r:id="rId595" xr:uid="{00000000-0004-0000-0200-000052020000}"/>
    <hyperlink ref="G520" r:id="rId596" xr:uid="{00000000-0004-0000-0200-000053020000}"/>
    <hyperlink ref="S520" r:id="rId597" xr:uid="{00000000-0004-0000-0200-000054020000}"/>
    <hyperlink ref="F522" r:id="rId598" xr:uid="{00000000-0004-0000-0200-000055020000}"/>
    <hyperlink ref="F523" r:id="rId599" xr:uid="{00000000-0004-0000-0200-000056020000}"/>
    <hyperlink ref="F524" r:id="rId600" xr:uid="{00000000-0004-0000-0200-000057020000}"/>
    <hyperlink ref="F525" r:id="rId601" xr:uid="{00000000-0004-0000-0200-000058020000}"/>
    <hyperlink ref="F526" r:id="rId602" xr:uid="{00000000-0004-0000-0200-000059020000}"/>
    <hyperlink ref="S526" r:id="rId603" xr:uid="{00000000-0004-0000-0200-00005A020000}"/>
    <hyperlink ref="F527" r:id="rId604" xr:uid="{00000000-0004-0000-0200-00005B020000}"/>
    <hyperlink ref="F528" r:id="rId605" xr:uid="{00000000-0004-0000-0200-00005C020000}"/>
    <hyperlink ref="F529" r:id="rId606" xr:uid="{00000000-0004-0000-0200-00005D020000}"/>
    <hyperlink ref="S529" r:id="rId607" xr:uid="{00000000-0004-0000-0200-00005E020000}"/>
    <hyperlink ref="F530" r:id="rId608" xr:uid="{00000000-0004-0000-0200-00005F020000}"/>
    <hyperlink ref="G530" r:id="rId609" xr:uid="{00000000-0004-0000-0200-000060020000}"/>
    <hyperlink ref="S531" r:id="rId610" xr:uid="{00000000-0004-0000-0200-000061020000}"/>
    <hyperlink ref="F532" r:id="rId611" xr:uid="{00000000-0004-0000-0200-000062020000}"/>
    <hyperlink ref="F533" r:id="rId612" xr:uid="{00000000-0004-0000-0200-000063020000}"/>
    <hyperlink ref="F534" r:id="rId613" xr:uid="{00000000-0004-0000-0200-000064020000}"/>
    <hyperlink ref="F535" r:id="rId614" xr:uid="{00000000-0004-0000-0200-000065020000}"/>
    <hyperlink ref="F536" r:id="rId615" xr:uid="{00000000-0004-0000-0200-000066020000}"/>
    <hyperlink ref="G536" r:id="rId616" xr:uid="{00000000-0004-0000-0200-000067020000}"/>
    <hyperlink ref="F538" r:id="rId617" xr:uid="{00000000-0004-0000-0200-000068020000}"/>
    <hyperlink ref="F540" r:id="rId618" xr:uid="{00000000-0004-0000-0200-000069020000}"/>
    <hyperlink ref="G540" r:id="rId619" xr:uid="{00000000-0004-0000-0200-00006A020000}"/>
    <hyperlink ref="F541" r:id="rId620" xr:uid="{00000000-0004-0000-0200-00006B020000}"/>
    <hyperlink ref="G541" r:id="rId621" xr:uid="{00000000-0004-0000-0200-00006C020000}"/>
    <hyperlink ref="F544" r:id="rId622" xr:uid="{00000000-0004-0000-0200-00006D020000}"/>
    <hyperlink ref="S544" r:id="rId623" xr:uid="{00000000-0004-0000-0200-00006E020000}"/>
    <hyperlink ref="F546" r:id="rId624" xr:uid="{00000000-0004-0000-0200-00006F020000}"/>
    <hyperlink ref="S546" r:id="rId625" xr:uid="{00000000-0004-0000-0200-000070020000}"/>
    <hyperlink ref="F547" r:id="rId626" xr:uid="{00000000-0004-0000-0200-000071020000}"/>
    <hyperlink ref="F548" r:id="rId627" xr:uid="{00000000-0004-0000-0200-000072020000}"/>
    <hyperlink ref="F549" r:id="rId628" xr:uid="{00000000-0004-0000-0200-000073020000}"/>
    <hyperlink ref="G550" r:id="rId629" xr:uid="{00000000-0004-0000-0200-000074020000}"/>
    <hyperlink ref="F551" r:id="rId630" xr:uid="{00000000-0004-0000-0200-000075020000}"/>
    <hyperlink ref="F552" r:id="rId631" xr:uid="{00000000-0004-0000-0200-000076020000}"/>
    <hyperlink ref="F553" r:id="rId632" xr:uid="{00000000-0004-0000-0200-000077020000}"/>
    <hyperlink ref="F554" r:id="rId633" xr:uid="{00000000-0004-0000-0200-000078020000}"/>
    <hyperlink ref="G554" r:id="rId634" xr:uid="{00000000-0004-0000-0200-000079020000}"/>
    <hyperlink ref="F555" r:id="rId635" xr:uid="{00000000-0004-0000-0200-00007A020000}"/>
    <hyperlink ref="G555" r:id="rId636" xr:uid="{00000000-0004-0000-0200-00007B020000}"/>
    <hyperlink ref="S555" r:id="rId637" xr:uid="{00000000-0004-0000-0200-00007C020000}"/>
    <hyperlink ref="F556" r:id="rId638" xr:uid="{00000000-0004-0000-0200-00007D020000}"/>
    <hyperlink ref="F557" r:id="rId639" xr:uid="{00000000-0004-0000-0200-00007E020000}"/>
    <hyperlink ref="G557" r:id="rId640" xr:uid="{00000000-0004-0000-0200-00007F020000}"/>
    <hyperlink ref="F558" r:id="rId641" xr:uid="{00000000-0004-0000-0200-000080020000}"/>
    <hyperlink ref="S558" r:id="rId642" xr:uid="{00000000-0004-0000-0200-000081020000}"/>
    <hyperlink ref="F559" r:id="rId643" xr:uid="{00000000-0004-0000-0200-000082020000}"/>
    <hyperlink ref="S559" r:id="rId644" xr:uid="{00000000-0004-0000-0200-000083020000}"/>
    <hyperlink ref="G560" r:id="rId645" xr:uid="{00000000-0004-0000-0200-000084020000}"/>
    <hyperlink ref="F561" r:id="rId646" xr:uid="{00000000-0004-0000-0200-000085020000}"/>
    <hyperlink ref="S561" r:id="rId647" xr:uid="{00000000-0004-0000-0200-000086020000}"/>
    <hyperlink ref="G562" r:id="rId648" xr:uid="{00000000-0004-0000-0200-000087020000}"/>
    <hyperlink ref="C563" r:id="rId649" xr:uid="{00000000-0004-0000-0200-000088020000}"/>
    <hyperlink ref="F563" r:id="rId650" xr:uid="{00000000-0004-0000-0200-000089020000}"/>
    <hyperlink ref="S563" r:id="rId651" xr:uid="{00000000-0004-0000-0200-00008A020000}"/>
    <hyperlink ref="F564" r:id="rId652" xr:uid="{00000000-0004-0000-0200-00008B020000}"/>
    <hyperlink ref="G564" r:id="rId653" xr:uid="{00000000-0004-0000-0200-00008C020000}"/>
    <hyperlink ref="F565" r:id="rId654" xr:uid="{00000000-0004-0000-0200-00008D020000}"/>
    <hyperlink ref="S565" r:id="rId655" xr:uid="{00000000-0004-0000-0200-00008E020000}"/>
    <hyperlink ref="F566" r:id="rId656" xr:uid="{00000000-0004-0000-0200-00008F020000}"/>
    <hyperlink ref="S566" r:id="rId657" xr:uid="{00000000-0004-0000-0200-000090020000}"/>
    <hyperlink ref="F567" r:id="rId658" xr:uid="{00000000-0004-0000-0200-000091020000}"/>
    <hyperlink ref="F568" r:id="rId659" xr:uid="{00000000-0004-0000-0200-000092020000}"/>
    <hyperlink ref="S568" r:id="rId660" xr:uid="{00000000-0004-0000-0200-000093020000}"/>
    <hyperlink ref="F569" r:id="rId661" xr:uid="{00000000-0004-0000-0200-000094020000}"/>
    <hyperlink ref="S569" r:id="rId662" xr:uid="{00000000-0004-0000-0200-000095020000}"/>
    <hyperlink ref="F570" r:id="rId663" xr:uid="{00000000-0004-0000-0200-000096020000}"/>
    <hyperlink ref="G570" r:id="rId664" xr:uid="{00000000-0004-0000-0200-000097020000}"/>
    <hyperlink ref="F571" r:id="rId665" xr:uid="{00000000-0004-0000-0200-000098020000}"/>
    <hyperlink ref="F572" r:id="rId666" xr:uid="{00000000-0004-0000-0200-000099020000}"/>
    <hyperlink ref="G573" r:id="rId667" xr:uid="{00000000-0004-0000-0200-00009A020000}"/>
    <hyperlink ref="F574" r:id="rId668" xr:uid="{00000000-0004-0000-0200-00009B020000}"/>
    <hyperlink ref="S574" r:id="rId669" xr:uid="{00000000-0004-0000-0200-00009C020000}"/>
    <hyperlink ref="F575" r:id="rId670" xr:uid="{00000000-0004-0000-0200-00009D020000}"/>
    <hyperlink ref="F576" r:id="rId671" xr:uid="{00000000-0004-0000-0200-00009E020000}"/>
    <hyperlink ref="F578" r:id="rId672" xr:uid="{00000000-0004-0000-0200-00009F020000}"/>
    <hyperlink ref="G578" r:id="rId673" xr:uid="{00000000-0004-0000-0200-0000A0020000}"/>
    <hyperlink ref="S578" r:id="rId674" xr:uid="{00000000-0004-0000-0200-0000A1020000}"/>
    <hyperlink ref="F579" r:id="rId675" xr:uid="{00000000-0004-0000-0200-0000A2020000}"/>
    <hyperlink ref="F580" r:id="rId676" xr:uid="{00000000-0004-0000-0200-0000A3020000}"/>
    <hyperlink ref="F581" r:id="rId677" xr:uid="{00000000-0004-0000-0200-0000A4020000}"/>
    <hyperlink ref="S581" r:id="rId678" xr:uid="{00000000-0004-0000-0200-0000A5020000}"/>
    <hyperlink ref="F582" r:id="rId679" xr:uid="{00000000-0004-0000-0200-0000A6020000}"/>
    <hyperlink ref="F583" r:id="rId680" xr:uid="{00000000-0004-0000-0200-0000A7020000}"/>
    <hyperlink ref="F584" r:id="rId681" xr:uid="{00000000-0004-0000-0200-0000A8020000}"/>
    <hyperlink ref="R584" r:id="rId682" xr:uid="{00000000-0004-0000-0200-0000A9020000}"/>
    <hyperlink ref="S584" r:id="rId683" xr:uid="{00000000-0004-0000-0200-0000AA020000}"/>
    <hyperlink ref="F585" r:id="rId684" xr:uid="{00000000-0004-0000-0200-0000AB020000}"/>
    <hyperlink ref="R585" r:id="rId685" xr:uid="{00000000-0004-0000-0200-0000AC020000}"/>
    <hyperlink ref="S585" r:id="rId686" xr:uid="{00000000-0004-0000-0200-0000AD020000}"/>
    <hyperlink ref="F586" r:id="rId687" xr:uid="{00000000-0004-0000-0200-0000AE020000}"/>
    <hyperlink ref="F587" r:id="rId688" xr:uid="{00000000-0004-0000-0200-0000AF020000}"/>
    <hyperlink ref="S587" r:id="rId689" xr:uid="{00000000-0004-0000-0200-0000B0020000}"/>
    <hyperlink ref="G588" r:id="rId690" xr:uid="{00000000-0004-0000-0200-0000B1020000}"/>
    <hyperlink ref="S588" r:id="rId691" xr:uid="{00000000-0004-0000-0200-0000B2020000}"/>
    <hyperlink ref="G589" r:id="rId692" xr:uid="{00000000-0004-0000-0200-0000B3020000}"/>
    <hyperlink ref="G590" r:id="rId693" xr:uid="{00000000-0004-0000-0200-0000B4020000}"/>
    <hyperlink ref="F591" r:id="rId694" xr:uid="{00000000-0004-0000-0200-0000B5020000}"/>
    <hyperlink ref="F592" r:id="rId695" xr:uid="{00000000-0004-0000-0200-0000B6020000}"/>
    <hyperlink ref="S592" r:id="rId696" xr:uid="{00000000-0004-0000-0200-0000B7020000}"/>
    <hyperlink ref="F593" r:id="rId697" xr:uid="{00000000-0004-0000-0200-0000B8020000}"/>
    <hyperlink ref="S593" r:id="rId698" xr:uid="{00000000-0004-0000-0200-0000B9020000}"/>
    <hyperlink ref="F594" r:id="rId699" xr:uid="{00000000-0004-0000-0200-0000BA020000}"/>
    <hyperlink ref="F595" r:id="rId700" xr:uid="{00000000-0004-0000-0200-0000BB020000}"/>
    <hyperlink ref="S595" r:id="rId701" xr:uid="{00000000-0004-0000-0200-0000BC020000}"/>
    <hyperlink ref="F597" r:id="rId702" xr:uid="{00000000-0004-0000-0200-0000BD020000}"/>
    <hyperlink ref="F598" r:id="rId703" xr:uid="{00000000-0004-0000-0200-0000BE020000}"/>
    <hyperlink ref="F599" r:id="rId704" xr:uid="{00000000-0004-0000-0200-0000BF020000}"/>
    <hyperlink ref="F600" r:id="rId705" xr:uid="{00000000-0004-0000-0200-0000C0020000}"/>
    <hyperlink ref="F601" r:id="rId706" xr:uid="{00000000-0004-0000-0200-0000C1020000}"/>
    <hyperlink ref="F602" r:id="rId707" xr:uid="{00000000-0004-0000-0200-0000C2020000}"/>
    <hyperlink ref="S602" r:id="rId708" xr:uid="{00000000-0004-0000-0200-0000C3020000}"/>
    <hyperlink ref="G604" r:id="rId709" xr:uid="{00000000-0004-0000-0200-0000C4020000}"/>
    <hyperlink ref="S604" r:id="rId710" xr:uid="{00000000-0004-0000-0200-0000C5020000}"/>
    <hyperlink ref="S605" r:id="rId711" xr:uid="{00000000-0004-0000-0200-0000C6020000}"/>
    <hyperlink ref="F606" r:id="rId712" xr:uid="{00000000-0004-0000-0200-0000C7020000}"/>
    <hyperlink ref="F607" r:id="rId713" xr:uid="{00000000-0004-0000-0200-0000C8020000}"/>
    <hyperlink ref="S607" r:id="rId714" xr:uid="{00000000-0004-0000-0200-0000C9020000}"/>
    <hyperlink ref="S608" r:id="rId715" xr:uid="{00000000-0004-0000-0200-0000CA020000}"/>
    <hyperlink ref="S609" r:id="rId716" xr:uid="{00000000-0004-0000-0200-0000CB020000}"/>
    <hyperlink ref="F610" r:id="rId717" xr:uid="{00000000-0004-0000-0200-0000CC020000}"/>
    <hyperlink ref="S610" r:id="rId718" xr:uid="{00000000-0004-0000-0200-0000CD020000}"/>
    <hyperlink ref="F611" r:id="rId719" xr:uid="{00000000-0004-0000-0200-0000CE020000}"/>
    <hyperlink ref="F613" r:id="rId720" xr:uid="{00000000-0004-0000-0200-0000CF020000}"/>
    <hyperlink ref="F614" r:id="rId721" xr:uid="{00000000-0004-0000-0200-0000D0020000}"/>
    <hyperlink ref="G615" r:id="rId722" xr:uid="{00000000-0004-0000-0200-0000D1020000}"/>
    <hyperlink ref="F616" r:id="rId723" xr:uid="{00000000-0004-0000-0200-0000D2020000}"/>
    <hyperlink ref="S616" r:id="rId724" xr:uid="{00000000-0004-0000-0200-0000D3020000}"/>
    <hyperlink ref="F617" r:id="rId725" xr:uid="{00000000-0004-0000-0200-0000D4020000}"/>
    <hyperlink ref="S617" r:id="rId726" xr:uid="{00000000-0004-0000-0200-0000D5020000}"/>
    <hyperlink ref="F618" r:id="rId727" xr:uid="{00000000-0004-0000-0200-0000D6020000}"/>
    <hyperlink ref="F619" r:id="rId728" xr:uid="{00000000-0004-0000-0200-0000D7020000}"/>
    <hyperlink ref="G619" r:id="rId729" xr:uid="{00000000-0004-0000-0200-0000D8020000}"/>
    <hyperlink ref="S619" r:id="rId730" xr:uid="{00000000-0004-0000-0200-0000D9020000}"/>
    <hyperlink ref="F620" r:id="rId731" xr:uid="{00000000-0004-0000-0200-0000DA020000}"/>
    <hyperlink ref="F621" r:id="rId732" xr:uid="{00000000-0004-0000-0200-0000DB020000}"/>
    <hyperlink ref="F622" r:id="rId733" xr:uid="{00000000-0004-0000-0200-0000DC020000}"/>
    <hyperlink ref="G622" r:id="rId734" xr:uid="{00000000-0004-0000-0200-0000DD020000}"/>
    <hyperlink ref="S622" r:id="rId735" xr:uid="{00000000-0004-0000-0200-0000DE020000}"/>
    <hyperlink ref="G623" r:id="rId736" xr:uid="{00000000-0004-0000-0200-0000DF020000}"/>
    <hyperlink ref="F624" r:id="rId737" xr:uid="{00000000-0004-0000-0200-0000E0020000}"/>
    <hyperlink ref="S625" r:id="rId738" xr:uid="{00000000-0004-0000-0200-0000E1020000}"/>
    <hyperlink ref="G626" r:id="rId739" xr:uid="{00000000-0004-0000-0200-0000E2020000}"/>
    <hyperlink ref="S626" r:id="rId740" xr:uid="{00000000-0004-0000-0200-0000E3020000}"/>
    <hyperlink ref="S627" r:id="rId741" xr:uid="{00000000-0004-0000-0200-0000E4020000}"/>
    <hyperlink ref="G628" r:id="rId742" xr:uid="{00000000-0004-0000-0200-0000E5020000}"/>
    <hyperlink ref="F629" r:id="rId743" xr:uid="{00000000-0004-0000-0200-0000E6020000}"/>
    <hyperlink ref="F630" r:id="rId744" xr:uid="{00000000-0004-0000-0200-0000E7020000}"/>
    <hyperlink ref="F631" r:id="rId745" xr:uid="{00000000-0004-0000-0200-0000E8020000}"/>
    <hyperlink ref="F633" r:id="rId746" xr:uid="{00000000-0004-0000-0200-0000E9020000}"/>
    <hyperlink ref="G634" r:id="rId747" xr:uid="{00000000-0004-0000-0200-0000EA020000}"/>
    <hyperlink ref="F635" r:id="rId748" xr:uid="{00000000-0004-0000-0200-0000EB020000}"/>
    <hyperlink ref="F636" r:id="rId749" xr:uid="{00000000-0004-0000-0200-0000EC020000}"/>
    <hyperlink ref="F638" r:id="rId750" xr:uid="{00000000-0004-0000-0200-0000ED020000}"/>
    <hyperlink ref="F639" r:id="rId751" xr:uid="{00000000-0004-0000-0200-0000EE020000}"/>
    <hyperlink ref="S639" r:id="rId752" xr:uid="{00000000-0004-0000-0200-0000EF020000}"/>
    <hyperlink ref="F640" r:id="rId753" xr:uid="{00000000-0004-0000-0200-0000F0020000}"/>
    <hyperlink ref="F641" r:id="rId754" location=".XAsUdVIQ2cI.twitter" xr:uid="{00000000-0004-0000-0200-0000F1020000}"/>
    <hyperlink ref="F643" r:id="rId755" location="ns_campaign=rrss&amp;ns_mchannel=abc-es&amp;ns_source=fb&amp;ns_linkname=cm-general&amp;ns_fee=0" xr:uid="{00000000-0004-0000-0200-0000F2020000}"/>
    <hyperlink ref="S644" r:id="rId756" xr:uid="{00000000-0004-0000-0200-0000F3020000}"/>
    <hyperlink ref="F645" r:id="rId757" xr:uid="{00000000-0004-0000-0200-0000F4020000}"/>
    <hyperlink ref="G645" r:id="rId758" xr:uid="{00000000-0004-0000-0200-0000F5020000}"/>
    <hyperlink ref="S645" r:id="rId759" xr:uid="{00000000-0004-0000-0200-0000F6020000}"/>
    <hyperlink ref="F650" r:id="rId760" xr:uid="{00000000-0004-0000-0200-0000F7020000}"/>
    <hyperlink ref="F651" r:id="rId761" xr:uid="{00000000-0004-0000-0200-0000F8020000}"/>
    <hyperlink ref="G652" r:id="rId762" xr:uid="{00000000-0004-0000-0200-0000F9020000}"/>
    <hyperlink ref="S652" r:id="rId763" xr:uid="{00000000-0004-0000-0200-0000FA020000}"/>
    <hyperlink ref="S653" r:id="rId764" xr:uid="{00000000-0004-0000-0200-0000FB020000}"/>
    <hyperlink ref="F654" r:id="rId765" xr:uid="{00000000-0004-0000-0200-0000FC020000}"/>
    <hyperlink ref="F655" r:id="rId766" xr:uid="{00000000-0004-0000-0200-0000FD020000}"/>
    <hyperlink ref="F656" r:id="rId767" xr:uid="{00000000-0004-0000-0200-0000FE020000}"/>
    <hyperlink ref="F657" r:id="rId768" xr:uid="{00000000-0004-0000-0200-0000FF020000}"/>
    <hyperlink ref="F658" r:id="rId769" xr:uid="{00000000-0004-0000-0200-000000030000}"/>
    <hyperlink ref="F659" r:id="rId770" xr:uid="{00000000-0004-0000-0200-000001030000}"/>
    <hyperlink ref="F660" r:id="rId771" xr:uid="{00000000-0004-0000-0200-000002030000}"/>
    <hyperlink ref="F661" r:id="rId772" xr:uid="{00000000-0004-0000-0200-000003030000}"/>
    <hyperlink ref="G662" r:id="rId773" xr:uid="{00000000-0004-0000-0200-000004030000}"/>
    <hyperlink ref="F663" r:id="rId774" xr:uid="{00000000-0004-0000-0200-000005030000}"/>
    <hyperlink ref="S663" r:id="rId775" xr:uid="{00000000-0004-0000-0200-000006030000}"/>
    <hyperlink ref="F664" r:id="rId776" xr:uid="{00000000-0004-0000-0200-000007030000}"/>
    <hyperlink ref="G664" r:id="rId777" xr:uid="{00000000-0004-0000-0200-000008030000}"/>
    <hyperlink ref="S664" r:id="rId778" xr:uid="{00000000-0004-0000-0200-000009030000}"/>
    <hyperlink ref="F666" r:id="rId779" xr:uid="{00000000-0004-0000-0200-00000A030000}"/>
    <hyperlink ref="S666" r:id="rId780" xr:uid="{00000000-0004-0000-0200-00000B030000}"/>
    <hyperlink ref="F667" r:id="rId781" xr:uid="{00000000-0004-0000-0200-00000C030000}"/>
    <hyperlink ref="F668" r:id="rId782" xr:uid="{00000000-0004-0000-0200-00000D030000}"/>
    <hyperlink ref="F669" r:id="rId783" xr:uid="{00000000-0004-0000-0200-00000E030000}"/>
    <hyperlink ref="F670" r:id="rId784" location=".XAsFPe7zYzI.twitter" xr:uid="{00000000-0004-0000-0200-00000F030000}"/>
    <hyperlink ref="F671" r:id="rId785" xr:uid="{00000000-0004-0000-0200-000010030000}"/>
    <hyperlink ref="S671" r:id="rId786" xr:uid="{00000000-0004-0000-0200-000011030000}"/>
    <hyperlink ref="G672" r:id="rId787" xr:uid="{00000000-0004-0000-0200-000012030000}"/>
    <hyperlink ref="S672" r:id="rId788" xr:uid="{00000000-0004-0000-0200-000013030000}"/>
    <hyperlink ref="F673" r:id="rId789" xr:uid="{00000000-0004-0000-0200-000014030000}"/>
    <hyperlink ref="F674" r:id="rId790" xr:uid="{00000000-0004-0000-0200-000015030000}"/>
    <hyperlink ref="G674" r:id="rId791" xr:uid="{00000000-0004-0000-0200-000016030000}"/>
    <hyperlink ref="S674" r:id="rId792" xr:uid="{00000000-0004-0000-0200-000017030000}"/>
    <hyperlink ref="F675" r:id="rId793" xr:uid="{00000000-0004-0000-0200-000018030000}"/>
    <hyperlink ref="F676" r:id="rId794" xr:uid="{00000000-0004-0000-0200-000019030000}"/>
    <hyperlink ref="G677" r:id="rId795" xr:uid="{00000000-0004-0000-0200-00001A030000}"/>
    <hyperlink ref="F679" r:id="rId796" xr:uid="{00000000-0004-0000-0200-00001B030000}"/>
    <hyperlink ref="S679" r:id="rId797" xr:uid="{00000000-0004-0000-0200-00001C030000}"/>
    <hyperlink ref="F680" r:id="rId798" xr:uid="{00000000-0004-0000-0200-00001D030000}"/>
    <hyperlink ref="F681" r:id="rId799" location=".XAsCIBtDWd8.twitter" xr:uid="{00000000-0004-0000-0200-00001E030000}"/>
    <hyperlink ref="F682" r:id="rId800" xr:uid="{00000000-0004-0000-0200-00001F030000}"/>
    <hyperlink ref="F684" r:id="rId801" xr:uid="{00000000-0004-0000-0200-000020030000}"/>
    <hyperlink ref="F685" r:id="rId802" xr:uid="{00000000-0004-0000-0200-000021030000}"/>
    <hyperlink ref="S685" r:id="rId803" xr:uid="{00000000-0004-0000-0200-000022030000}"/>
    <hyperlink ref="G687" r:id="rId804" xr:uid="{00000000-0004-0000-0200-000023030000}"/>
    <hyperlink ref="R687" r:id="rId805" xr:uid="{00000000-0004-0000-0200-000024030000}"/>
    <hyperlink ref="S687" r:id="rId806" xr:uid="{00000000-0004-0000-0200-000025030000}"/>
    <hyperlink ref="F689" r:id="rId807" xr:uid="{00000000-0004-0000-0200-000026030000}"/>
    <hyperlink ref="F691" r:id="rId808" xr:uid="{00000000-0004-0000-0200-000027030000}"/>
    <hyperlink ref="F692" r:id="rId809" xr:uid="{00000000-0004-0000-0200-000028030000}"/>
    <hyperlink ref="F693" r:id="rId810" xr:uid="{00000000-0004-0000-0200-000029030000}"/>
    <hyperlink ref="F694" r:id="rId811" xr:uid="{00000000-0004-0000-0200-00002A030000}"/>
    <hyperlink ref="S694" r:id="rId812" xr:uid="{00000000-0004-0000-0200-00002B030000}"/>
    <hyperlink ref="F695" r:id="rId813" xr:uid="{00000000-0004-0000-0200-00002C030000}"/>
    <hyperlink ref="S695" r:id="rId814" xr:uid="{00000000-0004-0000-0200-00002D030000}"/>
    <hyperlink ref="F696" r:id="rId815" xr:uid="{00000000-0004-0000-0200-00002E030000}"/>
    <hyperlink ref="F697" r:id="rId816" location=".XAr8r-rvYa4.twitter" xr:uid="{00000000-0004-0000-0200-00002F030000}"/>
    <hyperlink ref="F699" r:id="rId817" xr:uid="{00000000-0004-0000-0200-000030030000}"/>
    <hyperlink ref="G700" r:id="rId818" xr:uid="{00000000-0004-0000-0200-000031030000}"/>
    <hyperlink ref="F701" r:id="rId819" xr:uid="{00000000-0004-0000-0200-000032030000}"/>
    <hyperlink ref="S701" r:id="rId820" xr:uid="{00000000-0004-0000-0200-000033030000}"/>
    <hyperlink ref="F702" r:id="rId821" xr:uid="{00000000-0004-0000-0200-000034030000}"/>
    <hyperlink ref="F703" r:id="rId822" xr:uid="{00000000-0004-0000-0200-000035030000}"/>
    <hyperlink ref="F706" r:id="rId823" xr:uid="{00000000-0004-0000-0200-000036030000}"/>
    <hyperlink ref="F707" r:id="rId824" xr:uid="{00000000-0004-0000-0200-000037030000}"/>
    <hyperlink ref="F709" r:id="rId825" xr:uid="{00000000-0004-0000-0200-000038030000}"/>
    <hyperlink ref="F710" r:id="rId826" xr:uid="{00000000-0004-0000-0200-000039030000}"/>
    <hyperlink ref="G710" r:id="rId827" xr:uid="{00000000-0004-0000-0200-00003A030000}"/>
    <hyperlink ref="F713" r:id="rId828" xr:uid="{00000000-0004-0000-0200-00003B030000}"/>
    <hyperlink ref="G713" r:id="rId829" xr:uid="{00000000-0004-0000-0200-00003C030000}"/>
    <hyperlink ref="F714" r:id="rId830" xr:uid="{00000000-0004-0000-0200-00003D030000}"/>
    <hyperlink ref="S714" r:id="rId831" xr:uid="{00000000-0004-0000-0200-00003E030000}"/>
    <hyperlink ref="F715" r:id="rId832" xr:uid="{00000000-0004-0000-0200-00003F030000}"/>
    <hyperlink ref="F716" r:id="rId833" xr:uid="{00000000-0004-0000-0200-000040030000}"/>
    <hyperlink ref="F717" r:id="rId834" xr:uid="{00000000-0004-0000-0200-000041030000}"/>
    <hyperlink ref="F719" r:id="rId835" xr:uid="{00000000-0004-0000-0200-000042030000}"/>
    <hyperlink ref="F720" r:id="rId836" xr:uid="{00000000-0004-0000-0200-000043030000}"/>
    <hyperlink ref="S720" r:id="rId837" xr:uid="{00000000-0004-0000-0200-000044030000}"/>
    <hyperlink ref="F721" r:id="rId838" xr:uid="{00000000-0004-0000-0200-000045030000}"/>
    <hyperlink ref="F722" r:id="rId839" xr:uid="{00000000-0004-0000-0200-000046030000}"/>
    <hyperlink ref="S722" r:id="rId840" xr:uid="{00000000-0004-0000-0200-000047030000}"/>
    <hyperlink ref="C723" r:id="rId841" xr:uid="{00000000-0004-0000-0200-000048030000}"/>
    <hyperlink ref="F723" r:id="rId842" xr:uid="{00000000-0004-0000-0200-000049030000}"/>
    <hyperlink ref="S723" r:id="rId843" xr:uid="{00000000-0004-0000-0200-00004A030000}"/>
    <hyperlink ref="F725" r:id="rId844" xr:uid="{00000000-0004-0000-0200-00004B030000}"/>
    <hyperlink ref="G725" r:id="rId845" xr:uid="{00000000-0004-0000-0200-00004C030000}"/>
    <hyperlink ref="S725" r:id="rId846" xr:uid="{00000000-0004-0000-0200-00004D030000}"/>
    <hyperlink ref="F726" r:id="rId847" xr:uid="{00000000-0004-0000-0200-00004E030000}"/>
    <hyperlink ref="F727" r:id="rId848" xr:uid="{00000000-0004-0000-0200-00004F030000}"/>
    <hyperlink ref="G727" r:id="rId849" xr:uid="{00000000-0004-0000-0200-000050030000}"/>
    <hyperlink ref="F728" r:id="rId850" xr:uid="{00000000-0004-0000-0200-000051030000}"/>
    <hyperlink ref="G728" r:id="rId851" xr:uid="{00000000-0004-0000-0200-000052030000}"/>
    <hyperlink ref="S728" r:id="rId852" xr:uid="{00000000-0004-0000-0200-000053030000}"/>
    <hyperlink ref="G729" r:id="rId853" xr:uid="{00000000-0004-0000-0200-000054030000}"/>
    <hyperlink ref="G730" r:id="rId854" xr:uid="{00000000-0004-0000-0200-000055030000}"/>
    <hyperlink ref="S730" r:id="rId855" xr:uid="{00000000-0004-0000-0200-000056030000}"/>
    <hyperlink ref="F731" r:id="rId856" xr:uid="{00000000-0004-0000-0200-000057030000}"/>
    <hyperlink ref="S732" r:id="rId857" xr:uid="{00000000-0004-0000-0200-000058030000}"/>
    <hyperlink ref="G733" r:id="rId858" xr:uid="{00000000-0004-0000-0200-000059030000}"/>
    <hyperlink ref="F734" r:id="rId859" xr:uid="{00000000-0004-0000-0200-00005A030000}"/>
    <hyperlink ref="F736" r:id="rId860" xr:uid="{00000000-0004-0000-0200-00005B030000}"/>
    <hyperlink ref="G737" r:id="rId861" xr:uid="{00000000-0004-0000-0200-00005C030000}"/>
    <hyperlink ref="G738" r:id="rId862" xr:uid="{00000000-0004-0000-0200-00005D030000}"/>
    <hyperlink ref="S739" r:id="rId863" xr:uid="{00000000-0004-0000-0200-00005E030000}"/>
    <hyperlink ref="F740" r:id="rId864" xr:uid="{00000000-0004-0000-0200-00005F030000}"/>
    <hyperlink ref="G740" r:id="rId865" xr:uid="{00000000-0004-0000-0200-000060030000}"/>
    <hyperlink ref="S740" r:id="rId866" xr:uid="{00000000-0004-0000-0200-000061030000}"/>
    <hyperlink ref="F743" r:id="rId867" xr:uid="{00000000-0004-0000-0200-000062030000}"/>
    <hyperlink ref="G743" r:id="rId868" xr:uid="{00000000-0004-0000-0200-000063030000}"/>
    <hyperlink ref="F745" r:id="rId869" xr:uid="{00000000-0004-0000-0200-000064030000}"/>
    <hyperlink ref="F746" r:id="rId870" xr:uid="{00000000-0004-0000-0200-000065030000}"/>
    <hyperlink ref="G746" r:id="rId871" xr:uid="{00000000-0004-0000-0200-000066030000}"/>
    <hyperlink ref="F747" r:id="rId872" xr:uid="{00000000-0004-0000-0200-000067030000}"/>
    <hyperlink ref="G748" r:id="rId873" xr:uid="{00000000-0004-0000-0200-000068030000}"/>
    <hyperlink ref="F750" r:id="rId874" xr:uid="{00000000-0004-0000-0200-000069030000}"/>
    <hyperlink ref="F752" r:id="rId875" xr:uid="{00000000-0004-0000-0200-00006A030000}"/>
    <hyperlink ref="G753" r:id="rId876" xr:uid="{00000000-0004-0000-0200-00006B030000}"/>
    <hyperlink ref="G754" r:id="rId877" xr:uid="{00000000-0004-0000-0200-00006C030000}"/>
    <hyperlink ref="F755" r:id="rId878" xr:uid="{00000000-0004-0000-0200-00006D030000}"/>
    <hyperlink ref="G756" r:id="rId879" xr:uid="{00000000-0004-0000-0200-00006E030000}"/>
    <hyperlink ref="F757" r:id="rId880" xr:uid="{00000000-0004-0000-0200-00006F030000}"/>
    <hyperlink ref="F758" r:id="rId881" xr:uid="{00000000-0004-0000-0200-000070030000}"/>
    <hyperlink ref="G758" r:id="rId882" xr:uid="{00000000-0004-0000-0200-000071030000}"/>
    <hyperlink ref="S758" r:id="rId883" xr:uid="{00000000-0004-0000-0200-000072030000}"/>
    <hyperlink ref="F759" r:id="rId884" xr:uid="{00000000-0004-0000-0200-000073030000}"/>
    <hyperlink ref="F760" r:id="rId885" xr:uid="{00000000-0004-0000-0200-000074030000}"/>
    <hyperlink ref="F761" r:id="rId886" xr:uid="{00000000-0004-0000-0200-000075030000}"/>
    <hyperlink ref="F762" r:id="rId887" xr:uid="{00000000-0004-0000-0200-000076030000}"/>
    <hyperlink ref="F763" r:id="rId888" xr:uid="{00000000-0004-0000-0200-000077030000}"/>
    <hyperlink ref="F764" r:id="rId889" xr:uid="{00000000-0004-0000-0200-000078030000}"/>
    <hyperlink ref="F765" r:id="rId890" location=".XArrU8BtuPF.twitter" xr:uid="{00000000-0004-0000-0200-000079030000}"/>
    <hyperlink ref="F766" r:id="rId891" xr:uid="{00000000-0004-0000-0200-00007A030000}"/>
    <hyperlink ref="F768" r:id="rId892" xr:uid="{00000000-0004-0000-0200-00007B030000}"/>
    <hyperlink ref="G768" r:id="rId893" xr:uid="{00000000-0004-0000-0200-00007C030000}"/>
    <hyperlink ref="F769" r:id="rId894" xr:uid="{00000000-0004-0000-0200-00007D030000}"/>
    <hyperlink ref="S769" r:id="rId895" xr:uid="{00000000-0004-0000-0200-00007E030000}"/>
    <hyperlink ref="G770" r:id="rId896" xr:uid="{00000000-0004-0000-0200-00007F030000}"/>
    <hyperlink ref="F771" r:id="rId897" xr:uid="{00000000-0004-0000-0200-000080030000}"/>
    <hyperlink ref="F773" r:id="rId898" xr:uid="{00000000-0004-0000-0200-000081030000}"/>
    <hyperlink ref="F774" r:id="rId899" xr:uid="{00000000-0004-0000-0200-000082030000}"/>
    <hyperlink ref="S774" r:id="rId900" xr:uid="{00000000-0004-0000-0200-000083030000}"/>
    <hyperlink ref="G775" r:id="rId901" xr:uid="{00000000-0004-0000-0200-000084030000}"/>
    <hyperlink ref="F776" r:id="rId902" xr:uid="{00000000-0004-0000-0200-000085030000}"/>
    <hyperlink ref="F777" r:id="rId903" xr:uid="{00000000-0004-0000-0200-000086030000}"/>
    <hyperlink ref="S777" r:id="rId904" location="!/mercedes.mosquerabango.7?ref=bookmark" xr:uid="{00000000-0004-0000-0200-000087030000}"/>
    <hyperlink ref="F778" r:id="rId905" xr:uid="{00000000-0004-0000-0200-000088030000}"/>
    <hyperlink ref="G779" r:id="rId906" xr:uid="{00000000-0004-0000-0200-000089030000}"/>
    <hyperlink ref="F780" r:id="rId907" xr:uid="{00000000-0004-0000-0200-00008A030000}"/>
    <hyperlink ref="F781" r:id="rId908" xr:uid="{00000000-0004-0000-0200-00008B030000}"/>
    <hyperlink ref="S781" r:id="rId909" xr:uid="{00000000-0004-0000-0200-00008C030000}"/>
    <hyperlink ref="F782" r:id="rId910" xr:uid="{00000000-0004-0000-0200-00008D030000}"/>
    <hyperlink ref="G782" r:id="rId911" xr:uid="{00000000-0004-0000-0200-00008E030000}"/>
    <hyperlink ref="F783" r:id="rId912" xr:uid="{00000000-0004-0000-0200-00008F030000}"/>
    <hyperlink ref="S783" r:id="rId913" xr:uid="{00000000-0004-0000-0200-000090030000}"/>
    <hyperlink ref="F784" r:id="rId914" xr:uid="{00000000-0004-0000-0200-000091030000}"/>
    <hyperlink ref="S784" r:id="rId915" xr:uid="{00000000-0004-0000-0200-000092030000}"/>
    <hyperlink ref="F785" r:id="rId916" xr:uid="{00000000-0004-0000-0200-000093030000}"/>
    <hyperlink ref="G786" r:id="rId917" xr:uid="{00000000-0004-0000-0200-000094030000}"/>
    <hyperlink ref="F787" r:id="rId918" xr:uid="{00000000-0004-0000-0200-000095030000}"/>
    <hyperlink ref="S787" r:id="rId919" xr:uid="{00000000-0004-0000-0200-000096030000}"/>
    <hyperlink ref="S788" r:id="rId920" xr:uid="{00000000-0004-0000-0200-000097030000}"/>
    <hyperlink ref="F790" r:id="rId921" xr:uid="{00000000-0004-0000-0200-000098030000}"/>
    <hyperlink ref="F791" r:id="rId922" xr:uid="{00000000-0004-0000-0200-000099030000}"/>
    <hyperlink ref="F792" r:id="rId923" xr:uid="{00000000-0004-0000-0200-00009A030000}"/>
    <hyperlink ref="S792" r:id="rId924" xr:uid="{00000000-0004-0000-0200-00009B030000}"/>
    <hyperlink ref="G793" r:id="rId925" xr:uid="{00000000-0004-0000-0200-00009C030000}"/>
    <hyperlink ref="G794" r:id="rId926" xr:uid="{00000000-0004-0000-0200-00009D030000}"/>
    <hyperlink ref="F795" r:id="rId927" xr:uid="{00000000-0004-0000-0200-00009E030000}"/>
    <hyperlink ref="F796" r:id="rId928" xr:uid="{00000000-0004-0000-0200-00009F030000}"/>
    <hyperlink ref="F797" r:id="rId929" xr:uid="{00000000-0004-0000-0200-0000A0030000}"/>
    <hyperlink ref="F800" r:id="rId930" xr:uid="{00000000-0004-0000-0200-0000A1030000}"/>
    <hyperlink ref="F801" r:id="rId931" xr:uid="{00000000-0004-0000-0200-0000A2030000}"/>
    <hyperlink ref="F802" r:id="rId932" xr:uid="{00000000-0004-0000-0200-0000A3030000}"/>
    <hyperlink ref="S802" r:id="rId933" xr:uid="{00000000-0004-0000-0200-0000A4030000}"/>
    <hyperlink ref="F803" r:id="rId934" xr:uid="{00000000-0004-0000-0200-0000A5030000}"/>
    <hyperlink ref="G803" r:id="rId935" xr:uid="{00000000-0004-0000-0200-0000A6030000}"/>
    <hyperlink ref="F804" r:id="rId936" xr:uid="{00000000-0004-0000-0200-0000A7030000}"/>
    <hyperlink ref="S804" r:id="rId937" xr:uid="{00000000-0004-0000-0200-0000A8030000}"/>
    <hyperlink ref="F805" r:id="rId938" xr:uid="{00000000-0004-0000-0200-0000A9030000}"/>
    <hyperlink ref="S805" r:id="rId939" xr:uid="{00000000-0004-0000-0200-0000AA030000}"/>
    <hyperlink ref="G806" r:id="rId940" xr:uid="{00000000-0004-0000-0200-0000AB030000}"/>
    <hyperlink ref="S806" r:id="rId941" xr:uid="{00000000-0004-0000-0200-0000AC030000}"/>
    <hyperlink ref="F807" r:id="rId942" xr:uid="{00000000-0004-0000-0200-0000AD030000}"/>
    <hyperlink ref="S807" r:id="rId943" xr:uid="{00000000-0004-0000-0200-0000AE030000}"/>
    <hyperlink ref="F808" r:id="rId944" xr:uid="{00000000-0004-0000-0200-0000AF030000}"/>
    <hyperlink ref="F809" r:id="rId945" xr:uid="{00000000-0004-0000-0200-0000B0030000}"/>
    <hyperlink ref="F812" r:id="rId946" xr:uid="{00000000-0004-0000-0200-0000B1030000}"/>
    <hyperlink ref="G812" r:id="rId947" xr:uid="{00000000-0004-0000-0200-0000B2030000}"/>
    <hyperlink ref="S812" r:id="rId948" xr:uid="{00000000-0004-0000-0200-0000B3030000}"/>
    <hyperlink ref="G813" r:id="rId949" xr:uid="{00000000-0004-0000-0200-0000B4030000}"/>
    <hyperlink ref="F814" r:id="rId950" xr:uid="{00000000-0004-0000-0200-0000B5030000}"/>
    <hyperlink ref="G815" r:id="rId951" xr:uid="{00000000-0004-0000-0200-0000B6030000}"/>
    <hyperlink ref="G816" r:id="rId952" xr:uid="{00000000-0004-0000-0200-0000B7030000}"/>
    <hyperlink ref="F817" r:id="rId953" xr:uid="{00000000-0004-0000-0200-0000B8030000}"/>
    <hyperlink ref="G817" r:id="rId954" xr:uid="{00000000-0004-0000-0200-0000B9030000}"/>
    <hyperlink ref="F818" r:id="rId955" xr:uid="{00000000-0004-0000-0200-0000BA030000}"/>
    <hyperlink ref="F819" r:id="rId956" xr:uid="{00000000-0004-0000-0200-0000BB030000}"/>
    <hyperlink ref="F820" r:id="rId957" xr:uid="{00000000-0004-0000-0200-0000BC030000}"/>
    <hyperlink ref="F822" r:id="rId958" xr:uid="{00000000-0004-0000-0200-0000BD030000}"/>
    <hyperlink ref="F823" r:id="rId959" xr:uid="{00000000-0004-0000-0200-0000BE030000}"/>
    <hyperlink ref="F824" r:id="rId960" xr:uid="{00000000-0004-0000-0200-0000BF030000}"/>
    <hyperlink ref="G826" r:id="rId961" xr:uid="{00000000-0004-0000-0200-0000C0030000}"/>
    <hyperlink ref="F827" r:id="rId962" xr:uid="{00000000-0004-0000-0200-0000C1030000}"/>
    <hyperlink ref="F828" r:id="rId963" xr:uid="{00000000-0004-0000-0200-0000C2030000}"/>
    <hyperlink ref="S828" r:id="rId964" xr:uid="{00000000-0004-0000-0200-0000C3030000}"/>
    <hyperlink ref="F829" r:id="rId965" xr:uid="{00000000-0004-0000-0200-0000C4030000}"/>
    <hyperlink ref="G830" r:id="rId966" xr:uid="{00000000-0004-0000-0200-0000C5030000}"/>
    <hyperlink ref="F831" r:id="rId967" xr:uid="{00000000-0004-0000-0200-0000C6030000}"/>
    <hyperlink ref="S831" r:id="rId968" xr:uid="{00000000-0004-0000-0200-0000C7030000}"/>
    <hyperlink ref="F832" r:id="rId969" xr:uid="{00000000-0004-0000-0200-0000C8030000}"/>
    <hyperlink ref="F833" r:id="rId970" xr:uid="{00000000-0004-0000-0200-0000C9030000}"/>
    <hyperlink ref="F834" r:id="rId971" xr:uid="{00000000-0004-0000-0200-0000CA030000}"/>
    <hyperlink ref="G835" r:id="rId972" xr:uid="{00000000-0004-0000-0200-0000CB030000}"/>
    <hyperlink ref="F836" r:id="rId973" xr:uid="{00000000-0004-0000-0200-0000CC030000}"/>
    <hyperlink ref="F837" r:id="rId974" xr:uid="{00000000-0004-0000-0200-0000CD030000}"/>
    <hyperlink ref="F838" r:id="rId975" xr:uid="{00000000-0004-0000-0200-0000CE030000}"/>
    <hyperlink ref="G838" r:id="rId976" xr:uid="{00000000-0004-0000-0200-0000CF030000}"/>
    <hyperlink ref="F839" r:id="rId977" xr:uid="{00000000-0004-0000-0200-0000D0030000}"/>
    <hyperlink ref="G839" r:id="rId978" xr:uid="{00000000-0004-0000-0200-0000D1030000}"/>
    <hyperlink ref="S839" r:id="rId979" xr:uid="{00000000-0004-0000-0200-0000D2030000}"/>
    <hyperlink ref="G840" r:id="rId980" xr:uid="{00000000-0004-0000-0200-0000D3030000}"/>
    <hyperlink ref="F841" r:id="rId981" xr:uid="{00000000-0004-0000-0200-0000D4030000}"/>
    <hyperlink ref="G842" r:id="rId982" xr:uid="{00000000-0004-0000-0200-0000D5030000}"/>
    <hyperlink ref="S842" r:id="rId983" xr:uid="{00000000-0004-0000-0200-0000D6030000}"/>
    <hyperlink ref="F843" r:id="rId984" location=".XArW3C8bjqo.twitter" xr:uid="{00000000-0004-0000-0200-0000D7030000}"/>
    <hyperlink ref="G844" r:id="rId985" xr:uid="{00000000-0004-0000-0200-0000D8030000}"/>
    <hyperlink ref="F845" r:id="rId986" xr:uid="{00000000-0004-0000-0200-0000D9030000}"/>
    <hyperlink ref="F847" r:id="rId987" xr:uid="{00000000-0004-0000-0200-0000DA030000}"/>
    <hyperlink ref="F848" r:id="rId988" xr:uid="{00000000-0004-0000-0200-0000DB030000}"/>
    <hyperlink ref="F849" r:id="rId989" xr:uid="{00000000-0004-0000-0200-0000DC030000}"/>
    <hyperlink ref="G850" r:id="rId990" xr:uid="{00000000-0004-0000-0200-0000DD030000}"/>
    <hyperlink ref="G851" r:id="rId991" xr:uid="{00000000-0004-0000-0200-0000DE030000}"/>
    <hyperlink ref="S851" r:id="rId992" xr:uid="{00000000-0004-0000-0200-0000DF030000}"/>
    <hyperlink ref="F852" r:id="rId993" xr:uid="{00000000-0004-0000-0200-0000E0030000}"/>
    <hyperlink ref="F853" r:id="rId994" xr:uid="{00000000-0004-0000-0200-0000E1030000}"/>
    <hyperlink ref="F854" r:id="rId995" location=".XArVsdlBjWE.twitter" xr:uid="{00000000-0004-0000-0200-0000E2030000}"/>
    <hyperlink ref="F857" r:id="rId996" xr:uid="{00000000-0004-0000-0200-0000E3030000}"/>
    <hyperlink ref="S857" r:id="rId997" xr:uid="{00000000-0004-0000-0200-0000E4030000}"/>
    <hyperlink ref="F858" r:id="rId998" xr:uid="{00000000-0004-0000-0200-0000E5030000}"/>
    <hyperlink ref="S858" r:id="rId999" xr:uid="{00000000-0004-0000-0200-0000E6030000}"/>
    <hyperlink ref="F860" r:id="rId1000" xr:uid="{00000000-0004-0000-0200-0000E7030000}"/>
    <hyperlink ref="F861" r:id="rId1001" xr:uid="{00000000-0004-0000-0200-0000E8030000}"/>
    <hyperlink ref="S861" r:id="rId1002" xr:uid="{00000000-0004-0000-0200-0000E9030000}"/>
    <hyperlink ref="F862" r:id="rId1003" xr:uid="{00000000-0004-0000-0200-0000EA030000}"/>
    <hyperlink ref="F863" r:id="rId1004" xr:uid="{00000000-0004-0000-0200-0000EB030000}"/>
    <hyperlink ref="G864" r:id="rId1005" xr:uid="{00000000-0004-0000-0200-0000EC030000}"/>
    <hyperlink ref="S864" r:id="rId1006" xr:uid="{00000000-0004-0000-0200-0000ED030000}"/>
    <hyperlink ref="F865" r:id="rId1007" location=".XArT8nnv2pI.twitter" xr:uid="{00000000-0004-0000-0200-0000EE030000}"/>
    <hyperlink ref="F866" r:id="rId1008" xr:uid="{00000000-0004-0000-0200-0000EF030000}"/>
    <hyperlink ref="G866" r:id="rId1009" xr:uid="{00000000-0004-0000-0200-0000F0030000}"/>
    <hyperlink ref="G867" r:id="rId1010" xr:uid="{00000000-0004-0000-0200-0000F1030000}"/>
    <hyperlink ref="S867" r:id="rId1011" xr:uid="{00000000-0004-0000-0200-0000F2030000}"/>
    <hyperlink ref="G868" r:id="rId1012" xr:uid="{00000000-0004-0000-0200-0000F3030000}"/>
    <hyperlink ref="F869" r:id="rId1013" xr:uid="{00000000-0004-0000-0200-0000F4030000}"/>
    <hyperlink ref="G869" r:id="rId1014" xr:uid="{00000000-0004-0000-0200-0000F5030000}"/>
    <hyperlink ref="G870" r:id="rId1015" xr:uid="{00000000-0004-0000-0200-0000F6030000}"/>
    <hyperlink ref="S870" r:id="rId1016" xr:uid="{00000000-0004-0000-0200-0000F7030000}"/>
    <hyperlink ref="F872" r:id="rId1017" xr:uid="{00000000-0004-0000-0200-0000F8030000}"/>
    <hyperlink ref="F873" r:id="rId1018" xr:uid="{00000000-0004-0000-0200-0000F9030000}"/>
    <hyperlink ref="S873" r:id="rId1019" xr:uid="{00000000-0004-0000-0200-0000FA030000}"/>
    <hyperlink ref="F874" r:id="rId1020" xr:uid="{00000000-0004-0000-0200-0000FB030000}"/>
    <hyperlink ref="S874" r:id="rId1021" xr:uid="{00000000-0004-0000-0200-0000FC030000}"/>
    <hyperlink ref="S875" r:id="rId1022" xr:uid="{00000000-0004-0000-0200-0000FD030000}"/>
    <hyperlink ref="G877" r:id="rId1023" xr:uid="{00000000-0004-0000-0200-0000FE030000}"/>
    <hyperlink ref="G878" r:id="rId1024" xr:uid="{00000000-0004-0000-0200-0000FF030000}"/>
    <hyperlink ref="S878" r:id="rId1025" xr:uid="{00000000-0004-0000-0200-000000040000}"/>
    <hyperlink ref="F879" r:id="rId1026" location="ns_campaign=rrss-inducido&amp;ns_mchannel=abcdesevilla-es&amp;ns_source=fb&amp;ns_linkname=noticia-foto&amp;ns_fee=0" xr:uid="{00000000-0004-0000-0200-000001040000}"/>
    <hyperlink ref="S879" r:id="rId1027" xr:uid="{00000000-0004-0000-0200-000002040000}"/>
    <hyperlink ref="F880" r:id="rId1028" xr:uid="{00000000-0004-0000-0200-000003040000}"/>
    <hyperlink ref="G880" r:id="rId1029" xr:uid="{00000000-0004-0000-0200-000004040000}"/>
    <hyperlink ref="F881" r:id="rId1030" xr:uid="{00000000-0004-0000-0200-000005040000}"/>
    <hyperlink ref="F885" r:id="rId1031" xr:uid="{00000000-0004-0000-0200-000006040000}"/>
    <hyperlink ref="F886" r:id="rId1032" xr:uid="{00000000-0004-0000-0200-000007040000}"/>
    <hyperlink ref="F888" r:id="rId1033" xr:uid="{00000000-0004-0000-0200-000008040000}"/>
    <hyperlink ref="F891" r:id="rId1034" xr:uid="{00000000-0004-0000-0200-000009040000}"/>
    <hyperlink ref="S891" r:id="rId1035" xr:uid="{00000000-0004-0000-0200-00000A040000}"/>
    <hyperlink ref="F892" r:id="rId1036" xr:uid="{00000000-0004-0000-0200-00000B040000}"/>
    <hyperlink ref="S892" r:id="rId1037" xr:uid="{00000000-0004-0000-0200-00000C040000}"/>
    <hyperlink ref="F895" r:id="rId1038" xr:uid="{00000000-0004-0000-0200-00000D040000}"/>
    <hyperlink ref="F896" r:id="rId1039" location=".XArOCmmWxRc.twitter" xr:uid="{00000000-0004-0000-0200-00000E040000}"/>
    <hyperlink ref="F897" r:id="rId1040" xr:uid="{00000000-0004-0000-0200-00000F040000}"/>
    <hyperlink ref="S897" r:id="rId1041" xr:uid="{00000000-0004-0000-0200-000010040000}"/>
    <hyperlink ref="F898" r:id="rId1042" location="Echobox=1544102772" xr:uid="{00000000-0004-0000-0200-000011040000}"/>
    <hyperlink ref="S898" r:id="rId1043" xr:uid="{00000000-0004-0000-0200-000012040000}"/>
    <hyperlink ref="G899" r:id="rId1044" xr:uid="{00000000-0004-0000-0200-000013040000}"/>
    <hyperlink ref="S899" r:id="rId1045" xr:uid="{00000000-0004-0000-0200-000014040000}"/>
    <hyperlink ref="F900" r:id="rId1046" xr:uid="{00000000-0004-0000-0200-000015040000}"/>
    <hyperlink ref="F901" r:id="rId1047" xr:uid="{00000000-0004-0000-0200-000016040000}"/>
    <hyperlink ref="F902" r:id="rId1048" xr:uid="{00000000-0004-0000-0200-000017040000}"/>
    <hyperlink ref="G903" r:id="rId1049" xr:uid="{00000000-0004-0000-0200-000018040000}"/>
    <hyperlink ref="S903" r:id="rId1050" xr:uid="{00000000-0004-0000-0200-000019040000}"/>
    <hyperlink ref="F904" r:id="rId1051" xr:uid="{00000000-0004-0000-0200-00001A040000}"/>
    <hyperlink ref="F906" r:id="rId1052" xr:uid="{00000000-0004-0000-0200-00001B040000}"/>
    <hyperlink ref="F907" r:id="rId1053" xr:uid="{00000000-0004-0000-0200-00001C040000}"/>
    <hyperlink ref="G908" r:id="rId1054" xr:uid="{00000000-0004-0000-0200-00001D040000}"/>
    <hyperlink ref="F909" r:id="rId1055" xr:uid="{00000000-0004-0000-0200-00001E040000}"/>
    <hyperlink ref="F911" r:id="rId1056" xr:uid="{00000000-0004-0000-0200-00001F040000}"/>
    <hyperlink ref="F912" r:id="rId1057" xr:uid="{00000000-0004-0000-0200-000020040000}"/>
    <hyperlink ref="F913" r:id="rId1058" xr:uid="{00000000-0004-0000-0200-000021040000}"/>
    <hyperlink ref="G913" r:id="rId1059" xr:uid="{00000000-0004-0000-0200-000022040000}"/>
    <hyperlink ref="G914" r:id="rId1060" xr:uid="{00000000-0004-0000-0200-000023040000}"/>
    <hyperlink ref="F916" r:id="rId1061" xr:uid="{00000000-0004-0000-0200-000024040000}"/>
    <hyperlink ref="S916" r:id="rId1062" xr:uid="{00000000-0004-0000-0200-000025040000}"/>
    <hyperlink ref="F917" r:id="rId1063" xr:uid="{00000000-0004-0000-0200-000026040000}"/>
    <hyperlink ref="F918" r:id="rId1064" xr:uid="{00000000-0004-0000-0200-000027040000}"/>
    <hyperlink ref="S918" r:id="rId1065" xr:uid="{00000000-0004-0000-0200-000028040000}"/>
    <hyperlink ref="F919" r:id="rId1066" xr:uid="{00000000-0004-0000-0200-000029040000}"/>
    <hyperlink ref="F921" r:id="rId1067" xr:uid="{00000000-0004-0000-0200-00002A040000}"/>
    <hyperlink ref="F922" r:id="rId1068" xr:uid="{00000000-0004-0000-0200-00002B040000}"/>
    <hyperlink ref="G922" r:id="rId1069" xr:uid="{00000000-0004-0000-0200-00002C040000}"/>
    <hyperlink ref="F923" r:id="rId1070" xr:uid="{00000000-0004-0000-0200-00002D040000}"/>
    <hyperlink ref="F924" r:id="rId1071" xr:uid="{00000000-0004-0000-0200-00002E040000}"/>
    <hyperlink ref="S925" r:id="rId1072" xr:uid="{00000000-0004-0000-0200-00002F040000}"/>
    <hyperlink ref="F927" r:id="rId1073" location="Echobox=1543997713" xr:uid="{00000000-0004-0000-0200-000030040000}"/>
    <hyperlink ref="S927" r:id="rId1074" xr:uid="{00000000-0004-0000-0200-000031040000}"/>
    <hyperlink ref="G928" r:id="rId1075" xr:uid="{00000000-0004-0000-0200-000032040000}"/>
    <hyperlink ref="F929" r:id="rId1076" xr:uid="{00000000-0004-0000-0200-000033040000}"/>
    <hyperlink ref="S929" r:id="rId1077" xr:uid="{00000000-0004-0000-0200-000034040000}"/>
    <hyperlink ref="F932" r:id="rId1078" location=".XArEphwO4zo.twitter" xr:uid="{00000000-0004-0000-0200-000035040000}"/>
    <hyperlink ref="F933" r:id="rId1079" xr:uid="{00000000-0004-0000-0200-000036040000}"/>
    <hyperlink ref="F935" r:id="rId1080" xr:uid="{00000000-0004-0000-0200-000037040000}"/>
    <hyperlink ref="G935" r:id="rId1081" xr:uid="{00000000-0004-0000-0200-000038040000}"/>
    <hyperlink ref="S935" r:id="rId1082" xr:uid="{00000000-0004-0000-0200-000039040000}"/>
    <hyperlink ref="F937" r:id="rId1083" xr:uid="{00000000-0004-0000-0200-00003A040000}"/>
    <hyperlink ref="F938" r:id="rId1084" xr:uid="{00000000-0004-0000-0200-00003B040000}"/>
    <hyperlink ref="G939" r:id="rId1085" xr:uid="{00000000-0004-0000-0200-00003C040000}"/>
    <hyperlink ref="S939" r:id="rId1086" xr:uid="{00000000-0004-0000-0200-00003D040000}"/>
    <hyperlink ref="G940" r:id="rId1087" xr:uid="{00000000-0004-0000-0200-00003E040000}"/>
    <hyperlink ref="G943" r:id="rId1088" xr:uid="{00000000-0004-0000-0200-00003F040000}"/>
    <hyperlink ref="F947" r:id="rId1089" xr:uid="{00000000-0004-0000-0200-000040040000}"/>
    <hyperlink ref="F948" r:id="rId1090" xr:uid="{00000000-0004-0000-0200-000041040000}"/>
    <hyperlink ref="S948" r:id="rId1091" xr:uid="{00000000-0004-0000-0200-000042040000}"/>
    <hyperlink ref="S951" r:id="rId1092" xr:uid="{00000000-0004-0000-0200-000043040000}"/>
    <hyperlink ref="F952" r:id="rId1093" xr:uid="{00000000-0004-0000-0200-000044040000}"/>
    <hyperlink ref="F953" r:id="rId1094" xr:uid="{00000000-0004-0000-0200-000045040000}"/>
    <hyperlink ref="F954" r:id="rId1095" xr:uid="{00000000-0004-0000-0200-000046040000}"/>
    <hyperlink ref="S954" r:id="rId1096" xr:uid="{00000000-0004-0000-0200-000047040000}"/>
    <hyperlink ref="F955" r:id="rId1097" xr:uid="{00000000-0004-0000-0200-000048040000}"/>
    <hyperlink ref="F957" r:id="rId1098" xr:uid="{00000000-0004-0000-0200-000049040000}"/>
    <hyperlink ref="F958" r:id="rId1099" xr:uid="{00000000-0004-0000-0200-00004A040000}"/>
    <hyperlink ref="F959" r:id="rId1100" xr:uid="{00000000-0004-0000-0200-00004B040000}"/>
    <hyperlink ref="G959" r:id="rId1101" xr:uid="{00000000-0004-0000-0200-00004C040000}"/>
    <hyperlink ref="F960" r:id="rId1102" xr:uid="{00000000-0004-0000-0200-00004D040000}"/>
    <hyperlink ref="F962" r:id="rId1103" xr:uid="{00000000-0004-0000-0200-00004E040000}"/>
    <hyperlink ref="F965" r:id="rId1104" xr:uid="{00000000-0004-0000-0200-00004F040000}"/>
    <hyperlink ref="S965" r:id="rId1105" xr:uid="{00000000-0004-0000-0200-000050040000}"/>
    <hyperlink ref="F966" r:id="rId1106" xr:uid="{00000000-0004-0000-0200-000051040000}"/>
    <hyperlink ref="S966" r:id="rId1107" xr:uid="{00000000-0004-0000-0200-000052040000}"/>
    <hyperlink ref="F968" r:id="rId1108" xr:uid="{00000000-0004-0000-0200-000053040000}"/>
    <hyperlink ref="F969" r:id="rId1109" xr:uid="{00000000-0004-0000-0200-000054040000}"/>
    <hyperlink ref="G969" r:id="rId1110" xr:uid="{00000000-0004-0000-0200-000055040000}"/>
    <hyperlink ref="G970" r:id="rId1111" xr:uid="{00000000-0004-0000-0200-000056040000}"/>
    <hyperlink ref="F972" r:id="rId1112" xr:uid="{00000000-0004-0000-0200-000057040000}"/>
    <hyperlink ref="G972" r:id="rId1113" xr:uid="{00000000-0004-0000-0200-000058040000}"/>
    <hyperlink ref="F973" r:id="rId1114" xr:uid="{00000000-0004-0000-0200-000059040000}"/>
    <hyperlink ref="F974" r:id="rId1115" xr:uid="{00000000-0004-0000-0200-00005A040000}"/>
    <hyperlink ref="S976" r:id="rId1116" xr:uid="{00000000-0004-0000-0200-00005B040000}"/>
    <hyperlink ref="F977" r:id="rId1117" xr:uid="{00000000-0004-0000-0200-00005C040000}"/>
    <hyperlink ref="G977" r:id="rId1118" xr:uid="{00000000-0004-0000-0200-00005D040000}"/>
    <hyperlink ref="S978" r:id="rId1119" xr:uid="{00000000-0004-0000-0200-00005E040000}"/>
    <hyperlink ref="F979" r:id="rId1120" xr:uid="{00000000-0004-0000-0200-00005F040000}"/>
    <hyperlink ref="F980" r:id="rId1121" xr:uid="{00000000-0004-0000-0200-000060040000}"/>
    <hyperlink ref="G981" r:id="rId1122" xr:uid="{00000000-0004-0000-0200-000061040000}"/>
    <hyperlink ref="F982" r:id="rId1123" xr:uid="{00000000-0004-0000-0200-000062040000}"/>
    <hyperlink ref="G983" r:id="rId1124" xr:uid="{00000000-0004-0000-0200-000063040000}"/>
    <hyperlink ref="F985" r:id="rId1125" xr:uid="{00000000-0004-0000-0200-000064040000}"/>
    <hyperlink ref="G986" r:id="rId1126" xr:uid="{00000000-0004-0000-0200-000065040000}"/>
    <hyperlink ref="S986" r:id="rId1127" xr:uid="{00000000-0004-0000-0200-000066040000}"/>
    <hyperlink ref="F987" r:id="rId1128" location=".XAfjkvEJ4WA.twitter" xr:uid="{00000000-0004-0000-0200-000067040000}"/>
    <hyperlink ref="S987" r:id="rId1129" xr:uid="{00000000-0004-0000-0200-000068040000}"/>
    <hyperlink ref="F988" r:id="rId1130" xr:uid="{00000000-0004-0000-0200-000069040000}"/>
    <hyperlink ref="G989" r:id="rId1131" xr:uid="{00000000-0004-0000-0200-00006A040000}"/>
    <hyperlink ref="G991" r:id="rId1132" xr:uid="{00000000-0004-0000-0200-00006B040000}"/>
    <hyperlink ref="F992" r:id="rId1133" xr:uid="{00000000-0004-0000-0200-00006C040000}"/>
    <hyperlink ref="S992" r:id="rId1134" xr:uid="{00000000-0004-0000-0200-00006D040000}"/>
    <hyperlink ref="G993" r:id="rId1135" xr:uid="{00000000-0004-0000-0200-00006E040000}"/>
    <hyperlink ref="F995" r:id="rId1136" xr:uid="{00000000-0004-0000-0200-00006F040000}"/>
    <hyperlink ref="G995" r:id="rId1137" xr:uid="{00000000-0004-0000-0200-000070040000}"/>
    <hyperlink ref="G996" r:id="rId1138" xr:uid="{00000000-0004-0000-0200-000071040000}"/>
    <hyperlink ref="S996" r:id="rId1139" xr:uid="{00000000-0004-0000-0200-000072040000}"/>
    <hyperlink ref="F998" r:id="rId1140" xr:uid="{00000000-0004-0000-0200-000073040000}"/>
    <hyperlink ref="S998" r:id="rId1141" xr:uid="{00000000-0004-0000-0200-000074040000}"/>
    <hyperlink ref="G999" r:id="rId1142" xr:uid="{00000000-0004-0000-0200-000075040000}"/>
    <hyperlink ref="F1000" r:id="rId1143" location=".XAq4TFv4-dI.twitter" xr:uid="{00000000-0004-0000-0200-000076040000}"/>
    <hyperlink ref="F1001" r:id="rId1144" xr:uid="{00000000-0004-0000-0200-000077040000}"/>
    <hyperlink ref="S1001" r:id="rId1145" xr:uid="{00000000-0004-0000-0200-000078040000}"/>
    <hyperlink ref="F1002" r:id="rId1146" xr:uid="{00000000-0004-0000-0200-000079040000}"/>
    <hyperlink ref="F1003" r:id="rId1147" xr:uid="{00000000-0004-0000-0200-00007A040000}"/>
    <hyperlink ref="S1003" r:id="rId1148" xr:uid="{00000000-0004-0000-0200-00007B040000}"/>
    <hyperlink ref="F1004" r:id="rId1149" xr:uid="{00000000-0004-0000-0200-00007C040000}"/>
    <hyperlink ref="S1004" r:id="rId1150" xr:uid="{00000000-0004-0000-0200-00007D040000}"/>
    <hyperlink ref="F1006" r:id="rId1151" xr:uid="{00000000-0004-0000-0200-00007E040000}"/>
    <hyperlink ref="S1006" r:id="rId1152" xr:uid="{00000000-0004-0000-0200-00007F040000}"/>
    <hyperlink ref="G1007" r:id="rId1153" xr:uid="{00000000-0004-0000-0200-000080040000}"/>
    <hyperlink ref="F1008" r:id="rId1154" xr:uid="{00000000-0004-0000-0200-000081040000}"/>
    <hyperlink ref="S1008" r:id="rId1155" xr:uid="{00000000-0004-0000-0200-000082040000}"/>
    <hyperlink ref="F1010" r:id="rId1156" xr:uid="{00000000-0004-0000-0200-000083040000}"/>
    <hyperlink ref="G1010" r:id="rId1157" xr:uid="{00000000-0004-0000-0200-000084040000}"/>
    <hyperlink ref="S1010" r:id="rId1158" xr:uid="{00000000-0004-0000-0200-000085040000}"/>
    <hyperlink ref="F1011" r:id="rId1159" xr:uid="{00000000-0004-0000-0200-000086040000}"/>
    <hyperlink ref="S1011" r:id="rId1160" xr:uid="{00000000-0004-0000-0200-000087040000}"/>
    <hyperlink ref="F1012" r:id="rId1161" xr:uid="{00000000-0004-0000-0200-000088040000}"/>
    <hyperlink ref="G1013" r:id="rId1162" xr:uid="{00000000-0004-0000-0200-000089040000}"/>
    <hyperlink ref="G1014" r:id="rId1163" xr:uid="{00000000-0004-0000-0200-00008A040000}"/>
    <hyperlink ref="F1015" r:id="rId1164" xr:uid="{00000000-0004-0000-0200-00008B040000}"/>
    <hyperlink ref="F1016" r:id="rId1165" xr:uid="{00000000-0004-0000-0200-00008C040000}"/>
    <hyperlink ref="G1016" r:id="rId1166" xr:uid="{00000000-0004-0000-0200-00008D040000}"/>
    <hyperlink ref="G1017" r:id="rId1167" xr:uid="{00000000-0004-0000-0200-00008E040000}"/>
    <hyperlink ref="F1018" r:id="rId1168" xr:uid="{00000000-0004-0000-0200-00008F040000}"/>
    <hyperlink ref="G1019" r:id="rId1169" xr:uid="{00000000-0004-0000-0200-000090040000}"/>
    <hyperlink ref="S1019" r:id="rId1170" xr:uid="{00000000-0004-0000-0200-000091040000}"/>
    <hyperlink ref="F1020" r:id="rId1171" xr:uid="{00000000-0004-0000-0200-000092040000}"/>
    <hyperlink ref="S1021" r:id="rId1172" xr:uid="{00000000-0004-0000-0200-000093040000}"/>
    <hyperlink ref="G1022" r:id="rId1173" xr:uid="{00000000-0004-0000-0200-000094040000}"/>
    <hyperlink ref="F1023" r:id="rId1174" xr:uid="{00000000-0004-0000-0200-000095040000}"/>
    <hyperlink ref="F1024" r:id="rId1175" xr:uid="{00000000-0004-0000-0200-000096040000}"/>
    <hyperlink ref="S1024" r:id="rId1176" xr:uid="{00000000-0004-0000-0200-000097040000}"/>
    <hyperlink ref="F1025" r:id="rId1177" xr:uid="{00000000-0004-0000-0200-000098040000}"/>
    <hyperlink ref="G1026" r:id="rId1178" xr:uid="{00000000-0004-0000-0200-000099040000}"/>
    <hyperlink ref="F1027" r:id="rId1179" xr:uid="{00000000-0004-0000-0200-00009A040000}"/>
    <hyperlink ref="F1028" r:id="rId1180" xr:uid="{00000000-0004-0000-0200-00009B040000}"/>
    <hyperlink ref="F1029" r:id="rId1181" xr:uid="{00000000-0004-0000-0200-00009C040000}"/>
    <hyperlink ref="S1029" r:id="rId1182" xr:uid="{00000000-0004-0000-0200-00009D040000}"/>
    <hyperlink ref="F1030" r:id="rId1183" xr:uid="{00000000-0004-0000-0200-00009E040000}"/>
    <hyperlink ref="F1031" r:id="rId1184" xr:uid="{00000000-0004-0000-0200-00009F040000}"/>
    <hyperlink ref="F1032" r:id="rId1185" xr:uid="{00000000-0004-0000-0200-0000A0040000}"/>
    <hyperlink ref="F1033" r:id="rId1186" xr:uid="{00000000-0004-0000-0200-0000A1040000}"/>
    <hyperlink ref="F1034" r:id="rId1187" xr:uid="{00000000-0004-0000-0200-0000A2040000}"/>
    <hyperlink ref="S1034" r:id="rId1188" xr:uid="{00000000-0004-0000-0200-0000A3040000}"/>
    <hyperlink ref="F1035" r:id="rId1189" xr:uid="{00000000-0004-0000-0200-0000A4040000}"/>
    <hyperlink ref="S1035" r:id="rId1190" xr:uid="{00000000-0004-0000-0200-0000A5040000}"/>
    <hyperlink ref="F1036" r:id="rId1191" xr:uid="{00000000-0004-0000-0200-0000A6040000}"/>
    <hyperlink ref="F1037" r:id="rId1192" xr:uid="{00000000-0004-0000-0200-0000A7040000}"/>
    <hyperlink ref="G1037" r:id="rId1193" xr:uid="{00000000-0004-0000-0200-0000A8040000}"/>
    <hyperlink ref="F1038" r:id="rId1194" xr:uid="{00000000-0004-0000-0200-0000A9040000}"/>
    <hyperlink ref="F1040" r:id="rId1195" xr:uid="{00000000-0004-0000-0200-0000AA040000}"/>
    <hyperlink ref="G1040" r:id="rId1196" xr:uid="{00000000-0004-0000-0200-0000AB040000}"/>
    <hyperlink ref="F1041" r:id="rId1197" xr:uid="{00000000-0004-0000-0200-0000AC040000}"/>
    <hyperlink ref="F1042" r:id="rId1198" xr:uid="{00000000-0004-0000-0200-0000AD040000}"/>
    <hyperlink ref="F1043" r:id="rId1199" location="Echobox=1544197882" xr:uid="{00000000-0004-0000-0200-0000AE040000}"/>
    <hyperlink ref="S1043" r:id="rId1200" xr:uid="{00000000-0004-0000-0200-0000AF040000}"/>
    <hyperlink ref="F1045" r:id="rId1201" xr:uid="{00000000-0004-0000-0200-0000B0040000}"/>
    <hyperlink ref="F1046" r:id="rId1202" xr:uid="{00000000-0004-0000-0200-0000B1040000}"/>
    <hyperlink ref="S1047" r:id="rId1203" xr:uid="{00000000-0004-0000-0200-0000B2040000}"/>
    <hyperlink ref="F1048" r:id="rId1204" xr:uid="{00000000-0004-0000-0200-0000B3040000}"/>
    <hyperlink ref="F1049" r:id="rId1205" xr:uid="{00000000-0004-0000-0200-0000B4040000}"/>
    <hyperlink ref="F1050" r:id="rId1206" xr:uid="{00000000-0004-0000-0200-0000B5040000}"/>
    <hyperlink ref="G1051" r:id="rId1207" xr:uid="{00000000-0004-0000-0200-0000B6040000}"/>
    <hyperlink ref="F1052" r:id="rId1208" xr:uid="{00000000-0004-0000-0200-0000B7040000}"/>
    <hyperlink ref="G1053" r:id="rId1209" xr:uid="{00000000-0004-0000-0200-0000B8040000}"/>
    <hyperlink ref="F1054" r:id="rId1210" xr:uid="{00000000-0004-0000-0200-0000B9040000}"/>
    <hyperlink ref="G1054" r:id="rId1211" xr:uid="{00000000-0004-0000-0200-0000BA040000}"/>
    <hyperlink ref="F1056" r:id="rId1212" xr:uid="{00000000-0004-0000-0200-0000BB040000}"/>
    <hyperlink ref="F1057" r:id="rId1213" xr:uid="{00000000-0004-0000-0200-0000BC040000}"/>
    <hyperlink ref="S1057" r:id="rId1214" xr:uid="{00000000-0004-0000-0200-0000BD040000}"/>
    <hyperlink ref="F1060" r:id="rId1215" xr:uid="{00000000-0004-0000-0200-0000BE040000}"/>
    <hyperlink ref="S1060" r:id="rId1216" xr:uid="{00000000-0004-0000-0200-0000BF040000}"/>
    <hyperlink ref="G1061" r:id="rId1217" xr:uid="{00000000-0004-0000-0200-0000C0040000}"/>
    <hyperlink ref="F1062" r:id="rId1218" xr:uid="{00000000-0004-0000-0200-0000C1040000}"/>
    <hyperlink ref="F1063" r:id="rId1219" xr:uid="{00000000-0004-0000-0200-0000C2040000}"/>
    <hyperlink ref="S1063" r:id="rId1220" xr:uid="{00000000-0004-0000-0200-0000C3040000}"/>
    <hyperlink ref="F1064" r:id="rId1221" xr:uid="{00000000-0004-0000-0200-0000C4040000}"/>
    <hyperlink ref="G1064" r:id="rId1222" xr:uid="{00000000-0004-0000-0200-0000C5040000}"/>
    <hyperlink ref="F1067" r:id="rId1223" xr:uid="{00000000-0004-0000-0200-0000C6040000}"/>
    <hyperlink ref="G1068" r:id="rId1224" xr:uid="{00000000-0004-0000-0200-0000C7040000}"/>
    <hyperlink ref="G1070" r:id="rId1225" xr:uid="{00000000-0004-0000-0200-0000C8040000}"/>
    <hyperlink ref="F1073" r:id="rId1226" xr:uid="{00000000-0004-0000-0200-0000C9040000}"/>
    <hyperlink ref="S1073" r:id="rId1227" xr:uid="{00000000-0004-0000-0200-0000CA040000}"/>
    <hyperlink ref="G1074" r:id="rId1228" xr:uid="{00000000-0004-0000-0200-0000CB040000}"/>
    <hyperlink ref="S1074" r:id="rId1229" xr:uid="{00000000-0004-0000-0200-0000CC040000}"/>
    <hyperlink ref="F1076" r:id="rId1230" xr:uid="{00000000-0004-0000-0200-0000CD040000}"/>
    <hyperlink ref="G1076" r:id="rId1231" xr:uid="{00000000-0004-0000-0200-0000CE040000}"/>
    <hyperlink ref="S1077" r:id="rId1232" xr:uid="{00000000-0004-0000-0200-0000CF040000}"/>
    <hyperlink ref="G1078" r:id="rId1233" xr:uid="{00000000-0004-0000-0200-0000D0040000}"/>
    <hyperlink ref="F1079" r:id="rId1234" xr:uid="{00000000-0004-0000-0200-0000D1040000}"/>
    <hyperlink ref="G1079" r:id="rId1235" xr:uid="{00000000-0004-0000-0200-0000D2040000}"/>
    <hyperlink ref="S1079" r:id="rId1236" xr:uid="{00000000-0004-0000-0200-0000D3040000}"/>
    <hyperlink ref="F1080" r:id="rId1237" xr:uid="{00000000-0004-0000-0200-0000D4040000}"/>
    <hyperlink ref="G1080" r:id="rId1238" xr:uid="{00000000-0004-0000-0200-0000D5040000}"/>
    <hyperlink ref="S1080" r:id="rId1239" xr:uid="{00000000-0004-0000-0200-0000D6040000}"/>
    <hyperlink ref="F1081" r:id="rId1240" xr:uid="{00000000-0004-0000-0200-0000D7040000}"/>
    <hyperlink ref="F1082" r:id="rId1241" xr:uid="{00000000-0004-0000-0200-0000D8040000}"/>
    <hyperlink ref="F1083" r:id="rId1242" xr:uid="{00000000-0004-0000-0200-0000D9040000}"/>
    <hyperlink ref="S1083" r:id="rId1243" xr:uid="{00000000-0004-0000-0200-0000DA040000}"/>
    <hyperlink ref="F1085" r:id="rId1244" xr:uid="{00000000-0004-0000-0200-0000DB040000}"/>
    <hyperlink ref="S1085" r:id="rId1245" xr:uid="{00000000-0004-0000-0200-0000DC040000}"/>
    <hyperlink ref="F1086" r:id="rId1246" xr:uid="{00000000-0004-0000-0200-0000DD040000}"/>
    <hyperlink ref="F1087" r:id="rId1247" xr:uid="{00000000-0004-0000-0200-0000DE040000}"/>
    <hyperlink ref="F1088" r:id="rId1248" xr:uid="{00000000-0004-0000-0200-0000DF040000}"/>
    <hyperlink ref="G1090" r:id="rId1249" xr:uid="{00000000-0004-0000-0200-0000E0040000}"/>
    <hyperlink ref="S1090" r:id="rId1250" xr:uid="{00000000-0004-0000-0200-0000E1040000}"/>
    <hyperlink ref="F1091" r:id="rId1251" xr:uid="{00000000-0004-0000-0200-0000E2040000}"/>
    <hyperlink ref="S1091" r:id="rId1252" xr:uid="{00000000-0004-0000-0200-0000E3040000}"/>
    <hyperlink ref="G1092" r:id="rId1253" xr:uid="{00000000-0004-0000-0200-0000E4040000}"/>
    <hyperlink ref="F1093" r:id="rId1254" xr:uid="{00000000-0004-0000-0200-0000E5040000}"/>
    <hyperlink ref="G1093" r:id="rId1255" xr:uid="{00000000-0004-0000-0200-0000E6040000}"/>
    <hyperlink ref="G1094" r:id="rId1256" xr:uid="{00000000-0004-0000-0200-0000E7040000}"/>
    <hyperlink ref="G1095" r:id="rId1257" xr:uid="{00000000-0004-0000-0200-0000E8040000}"/>
    <hyperlink ref="S1095" r:id="rId1258" xr:uid="{00000000-0004-0000-0200-0000E9040000}"/>
    <hyperlink ref="F1096" r:id="rId1259" xr:uid="{00000000-0004-0000-0200-0000EA040000}"/>
    <hyperlink ref="F1097" r:id="rId1260" xr:uid="{00000000-0004-0000-0200-0000EB040000}"/>
    <hyperlink ref="F1098" r:id="rId1261" xr:uid="{00000000-0004-0000-0200-0000EC040000}"/>
    <hyperlink ref="G1098" r:id="rId1262" xr:uid="{00000000-0004-0000-0200-0000ED040000}"/>
    <hyperlink ref="F1099" r:id="rId1263" xr:uid="{00000000-0004-0000-0200-0000EE040000}"/>
    <hyperlink ref="F1100" r:id="rId1264" xr:uid="{00000000-0004-0000-0200-0000EF040000}"/>
    <hyperlink ref="S1100" r:id="rId1265" xr:uid="{00000000-0004-0000-0200-0000F0040000}"/>
    <hyperlink ref="F1101" r:id="rId1266" xr:uid="{00000000-0004-0000-0200-0000F1040000}"/>
    <hyperlink ref="F1103" r:id="rId1267" xr:uid="{00000000-0004-0000-0200-0000F2040000}"/>
    <hyperlink ref="G1103" r:id="rId1268" xr:uid="{00000000-0004-0000-0200-0000F3040000}"/>
    <hyperlink ref="F1104" r:id="rId1269" xr:uid="{00000000-0004-0000-0200-0000F4040000}"/>
    <hyperlink ref="F1105" r:id="rId1270" xr:uid="{00000000-0004-0000-0200-0000F5040000}"/>
    <hyperlink ref="S1105" r:id="rId1271" xr:uid="{00000000-0004-0000-0200-0000F6040000}"/>
    <hyperlink ref="S1107" r:id="rId1272" xr:uid="{00000000-0004-0000-0200-0000F7040000}"/>
    <hyperlink ref="F1108" r:id="rId1273" xr:uid="{00000000-0004-0000-0200-0000F8040000}"/>
    <hyperlink ref="G1108" r:id="rId1274" xr:uid="{00000000-0004-0000-0200-0000F9040000}"/>
    <hyperlink ref="G1109" r:id="rId1275" xr:uid="{00000000-0004-0000-0200-0000FA040000}"/>
    <hyperlink ref="S1109" r:id="rId1276" xr:uid="{00000000-0004-0000-0200-0000FB040000}"/>
    <hyperlink ref="F1110" r:id="rId1277" xr:uid="{00000000-0004-0000-0200-0000FC040000}"/>
    <hyperlink ref="S1110" r:id="rId1278" xr:uid="{00000000-0004-0000-0200-0000FD040000}"/>
    <hyperlink ref="G1111" r:id="rId1279" xr:uid="{00000000-0004-0000-0200-0000FE040000}"/>
    <hyperlink ref="F1113" r:id="rId1280" xr:uid="{00000000-0004-0000-0200-0000FF040000}"/>
    <hyperlink ref="G1115" r:id="rId1281" xr:uid="{00000000-0004-0000-0200-000000050000}"/>
    <hyperlink ref="S1115" r:id="rId1282" xr:uid="{00000000-0004-0000-0200-000001050000}"/>
    <hyperlink ref="G1117" r:id="rId1283" xr:uid="{00000000-0004-0000-0200-000002050000}"/>
    <hyperlink ref="G1118" r:id="rId1284" xr:uid="{00000000-0004-0000-0200-000003050000}"/>
    <hyperlink ref="S1118" r:id="rId1285" xr:uid="{00000000-0004-0000-0200-000004050000}"/>
    <hyperlink ref="F1119" r:id="rId1286" xr:uid="{00000000-0004-0000-0200-000005050000}"/>
    <hyperlink ref="F1120" r:id="rId1287" xr:uid="{00000000-0004-0000-0200-000006050000}"/>
    <hyperlink ref="F1121" r:id="rId1288" xr:uid="{00000000-0004-0000-0200-000007050000}"/>
    <hyperlink ref="F1122" r:id="rId1289" xr:uid="{00000000-0004-0000-0200-000008050000}"/>
    <hyperlink ref="S1122" r:id="rId1290" xr:uid="{00000000-0004-0000-0200-000009050000}"/>
    <hyperlink ref="F1123" r:id="rId1291" xr:uid="{00000000-0004-0000-0200-00000A050000}"/>
    <hyperlink ref="G1123" r:id="rId1292" xr:uid="{00000000-0004-0000-0200-00000B050000}"/>
    <hyperlink ref="S1124" r:id="rId1293" xr:uid="{00000000-0004-0000-0200-00000C050000}"/>
    <hyperlink ref="F1125" r:id="rId1294" xr:uid="{00000000-0004-0000-0200-00000D050000}"/>
    <hyperlink ref="F1126" r:id="rId1295" xr:uid="{00000000-0004-0000-0200-00000E050000}"/>
    <hyperlink ref="G1126" r:id="rId1296" xr:uid="{00000000-0004-0000-0200-00000F050000}"/>
    <hyperlink ref="F1127" r:id="rId1297" xr:uid="{00000000-0004-0000-0200-000010050000}"/>
    <hyperlink ref="G1127" r:id="rId1298" xr:uid="{00000000-0004-0000-0200-000011050000}"/>
    <hyperlink ref="F1128" r:id="rId1299" xr:uid="{00000000-0004-0000-0200-000012050000}"/>
    <hyperlink ref="S1128" r:id="rId1300" xr:uid="{00000000-0004-0000-0200-000013050000}"/>
    <hyperlink ref="F1129" r:id="rId1301" xr:uid="{00000000-0004-0000-0200-000014050000}"/>
    <hyperlink ref="S1129" r:id="rId1302" xr:uid="{00000000-0004-0000-0200-000015050000}"/>
    <hyperlink ref="F1130" r:id="rId1303" xr:uid="{00000000-0004-0000-0200-000016050000}"/>
    <hyperlink ref="F1131" r:id="rId1304" xr:uid="{00000000-0004-0000-0200-000017050000}"/>
    <hyperlink ref="F1132" r:id="rId1305" xr:uid="{00000000-0004-0000-0200-000018050000}"/>
    <hyperlink ref="G1135" r:id="rId1306" xr:uid="{00000000-0004-0000-0200-000019050000}"/>
    <hyperlink ref="F1136" r:id="rId1307" xr:uid="{00000000-0004-0000-0200-00001A050000}"/>
    <hyperlink ref="F1138" r:id="rId1308" xr:uid="{00000000-0004-0000-0200-00001B050000}"/>
    <hyperlink ref="S1138" r:id="rId1309" xr:uid="{00000000-0004-0000-0200-00001C050000}"/>
    <hyperlink ref="F1139" r:id="rId1310" xr:uid="{00000000-0004-0000-0200-00001D050000}"/>
    <hyperlink ref="G1139" r:id="rId1311" xr:uid="{00000000-0004-0000-0200-00001E050000}"/>
    <hyperlink ref="F1140" r:id="rId1312" xr:uid="{00000000-0004-0000-0200-00001F050000}"/>
    <hyperlink ref="S1140" r:id="rId1313" xr:uid="{00000000-0004-0000-0200-000020050000}"/>
    <hyperlink ref="G1141" r:id="rId1314" xr:uid="{00000000-0004-0000-0200-000021050000}"/>
    <hyperlink ref="F1142" r:id="rId1315" xr:uid="{00000000-0004-0000-0200-000022050000}"/>
    <hyperlink ref="G1142" r:id="rId1316" xr:uid="{00000000-0004-0000-0200-000023050000}"/>
    <hyperlink ref="S1142" r:id="rId1317" xr:uid="{00000000-0004-0000-0200-000024050000}"/>
    <hyperlink ref="F1143" r:id="rId1318" xr:uid="{00000000-0004-0000-0200-000025050000}"/>
    <hyperlink ref="S1143" r:id="rId1319" xr:uid="{00000000-0004-0000-0200-000026050000}"/>
    <hyperlink ref="F1144" r:id="rId1320" xr:uid="{00000000-0004-0000-0200-000027050000}"/>
    <hyperlink ref="S1145" r:id="rId1321" xr:uid="{00000000-0004-0000-0200-000028050000}"/>
    <hyperlink ref="F1146" r:id="rId1322" xr:uid="{00000000-0004-0000-0200-000029050000}"/>
    <hyperlink ref="S1146" r:id="rId1323" xr:uid="{00000000-0004-0000-0200-00002A050000}"/>
    <hyperlink ref="F1147" r:id="rId1324" xr:uid="{00000000-0004-0000-0200-00002B050000}"/>
    <hyperlink ref="G1147" r:id="rId1325" xr:uid="{00000000-0004-0000-0200-00002C050000}"/>
    <hyperlink ref="F1148" r:id="rId1326" xr:uid="{00000000-0004-0000-0200-00002D050000}"/>
    <hyperlink ref="S1149" r:id="rId1327" xr:uid="{00000000-0004-0000-0200-00002E050000}"/>
    <hyperlink ref="F1151" r:id="rId1328" xr:uid="{00000000-0004-0000-0200-00002F050000}"/>
    <hyperlink ref="F1153" r:id="rId1329" xr:uid="{00000000-0004-0000-0200-000030050000}"/>
    <hyperlink ref="F1154" r:id="rId1330" xr:uid="{00000000-0004-0000-0200-000031050000}"/>
    <hyperlink ref="F1155" r:id="rId1331" xr:uid="{00000000-0004-0000-0200-000032050000}"/>
    <hyperlink ref="G1156" r:id="rId1332" xr:uid="{00000000-0004-0000-0200-000033050000}"/>
    <hyperlink ref="F1157" r:id="rId1333" xr:uid="{00000000-0004-0000-0200-000034050000}"/>
    <hyperlink ref="G1159" r:id="rId1334" xr:uid="{00000000-0004-0000-0200-000035050000}"/>
    <hyperlink ref="S1159" r:id="rId1335" xr:uid="{00000000-0004-0000-0200-000036050000}"/>
    <hyperlink ref="F1162" r:id="rId1336" xr:uid="{00000000-0004-0000-0200-000037050000}"/>
    <hyperlink ref="F1163" r:id="rId1337" xr:uid="{00000000-0004-0000-0200-000038050000}"/>
    <hyperlink ref="F1164" r:id="rId1338" location="Echobox=1544187698" xr:uid="{00000000-0004-0000-0200-000039050000}"/>
    <hyperlink ref="S1164" r:id="rId1339" xr:uid="{00000000-0004-0000-0200-00003A050000}"/>
    <hyperlink ref="G1165" r:id="rId1340" xr:uid="{00000000-0004-0000-0200-00003B050000}"/>
    <hyperlink ref="F1166" r:id="rId1341" xr:uid="{00000000-0004-0000-0200-00003C050000}"/>
    <hyperlink ref="S1168" r:id="rId1342" xr:uid="{00000000-0004-0000-0200-00003D050000}"/>
    <hyperlink ref="F1169" r:id="rId1343" xr:uid="{00000000-0004-0000-0200-00003E050000}"/>
    <hyperlink ref="F1170" r:id="rId1344" xr:uid="{00000000-0004-0000-0200-00003F050000}"/>
    <hyperlink ref="G1170" r:id="rId1345" xr:uid="{00000000-0004-0000-0200-000040050000}"/>
    <hyperlink ref="S1170" r:id="rId1346" xr:uid="{00000000-0004-0000-0200-000041050000}"/>
    <hyperlink ref="F1171" r:id="rId1347" xr:uid="{00000000-0004-0000-0200-000042050000}"/>
    <hyperlink ref="C1172" r:id="rId1348" xr:uid="{00000000-0004-0000-0200-000043050000}"/>
    <hyperlink ref="F1172" r:id="rId1349" xr:uid="{00000000-0004-0000-0200-000044050000}"/>
    <hyperlink ref="S1172" r:id="rId1350" xr:uid="{00000000-0004-0000-0200-000045050000}"/>
    <hyperlink ref="G1173" r:id="rId1351" xr:uid="{00000000-0004-0000-0200-000046050000}"/>
    <hyperlink ref="S1173" r:id="rId1352" xr:uid="{00000000-0004-0000-0200-000047050000}"/>
    <hyperlink ref="G1175" r:id="rId1353" xr:uid="{00000000-0004-0000-0200-000048050000}"/>
    <hyperlink ref="F1176" r:id="rId1354" xr:uid="{00000000-0004-0000-0200-000049050000}"/>
    <hyperlink ref="F1178" r:id="rId1355" xr:uid="{00000000-0004-0000-0200-00004A050000}"/>
    <hyperlink ref="F1179" r:id="rId1356" xr:uid="{00000000-0004-0000-0200-00004B050000}"/>
    <hyperlink ref="G1179" r:id="rId1357" xr:uid="{00000000-0004-0000-0200-00004C050000}"/>
    <hyperlink ref="F1180" r:id="rId1358" xr:uid="{00000000-0004-0000-0200-00004D050000}"/>
    <hyperlink ref="F1181" r:id="rId1359" xr:uid="{00000000-0004-0000-0200-00004E050000}"/>
    <hyperlink ref="G1181" r:id="rId1360" xr:uid="{00000000-0004-0000-0200-00004F050000}"/>
    <hyperlink ref="F1182" r:id="rId1361" xr:uid="{00000000-0004-0000-0200-000050050000}"/>
    <hyperlink ref="S1182" r:id="rId1362" xr:uid="{00000000-0004-0000-0200-000051050000}"/>
    <hyperlink ref="S1183" r:id="rId1363" xr:uid="{00000000-0004-0000-0200-000052050000}"/>
    <hyperlink ref="F1184" r:id="rId1364" xr:uid="{00000000-0004-0000-0200-000053050000}"/>
    <hyperlink ref="S1185" r:id="rId1365" xr:uid="{00000000-0004-0000-0200-000054050000}"/>
    <hyperlink ref="F1187" r:id="rId1366" xr:uid="{00000000-0004-0000-0200-000055050000}"/>
    <hyperlink ref="S1187" r:id="rId1367" xr:uid="{00000000-0004-0000-0200-000056050000}"/>
    <hyperlink ref="S1188" r:id="rId1368" xr:uid="{00000000-0004-0000-0200-000057050000}"/>
    <hyperlink ref="F1189" r:id="rId1369" xr:uid="{00000000-0004-0000-0200-000058050000}"/>
    <hyperlink ref="F1190" r:id="rId1370" xr:uid="{00000000-0004-0000-0200-000059050000}"/>
    <hyperlink ref="G1191" r:id="rId1371" xr:uid="{00000000-0004-0000-0200-00005A050000}"/>
    <hyperlink ref="G1192" r:id="rId1372" xr:uid="{00000000-0004-0000-0200-00005B050000}"/>
    <hyperlink ref="S1193" r:id="rId1373" xr:uid="{00000000-0004-0000-0200-00005C050000}"/>
    <hyperlink ref="G1195" r:id="rId1374" xr:uid="{00000000-0004-0000-0200-00005D050000}"/>
    <hyperlink ref="G1196" r:id="rId1375" xr:uid="{00000000-0004-0000-0200-00005E050000}"/>
    <hyperlink ref="F1197" r:id="rId1376" xr:uid="{00000000-0004-0000-0200-00005F050000}"/>
    <hyperlink ref="F1199" r:id="rId1377" xr:uid="{00000000-0004-0000-0200-000060050000}"/>
    <hyperlink ref="G1199" r:id="rId1378" xr:uid="{00000000-0004-0000-0200-000061050000}"/>
    <hyperlink ref="G1200" r:id="rId1379" xr:uid="{00000000-0004-0000-0200-000062050000}"/>
    <hyperlink ref="S1200" r:id="rId1380" xr:uid="{00000000-0004-0000-0200-000063050000}"/>
    <hyperlink ref="F1201" r:id="rId1381" xr:uid="{00000000-0004-0000-0200-000064050000}"/>
    <hyperlink ref="F1202" r:id="rId1382" xr:uid="{00000000-0004-0000-0200-000065050000}"/>
    <hyperlink ref="G1203" r:id="rId1383" xr:uid="{00000000-0004-0000-0200-000066050000}"/>
    <hyperlink ref="S1203" r:id="rId1384" xr:uid="{00000000-0004-0000-0200-000067050000}"/>
    <hyperlink ref="F1204" r:id="rId1385" xr:uid="{00000000-0004-0000-0200-000068050000}"/>
    <hyperlink ref="S1204" r:id="rId1386" xr:uid="{00000000-0004-0000-0200-000069050000}"/>
    <hyperlink ref="F1207" r:id="rId1387" xr:uid="{00000000-0004-0000-0200-00006A050000}"/>
    <hyperlink ref="F1209" r:id="rId1388" xr:uid="{00000000-0004-0000-0200-00006B050000}"/>
    <hyperlink ref="F1211" r:id="rId1389" xr:uid="{00000000-0004-0000-0200-00006C050000}"/>
    <hyperlink ref="G1211" r:id="rId1390" xr:uid="{00000000-0004-0000-0200-00006D050000}"/>
    <hyperlink ref="S1211" r:id="rId1391" xr:uid="{00000000-0004-0000-0200-00006E050000}"/>
    <hyperlink ref="S1212" r:id="rId1392" xr:uid="{00000000-0004-0000-0200-00006F050000}"/>
    <hyperlink ref="F1216" r:id="rId1393" xr:uid="{00000000-0004-0000-0200-000070050000}"/>
    <hyperlink ref="F1217" r:id="rId1394" xr:uid="{00000000-0004-0000-0200-000071050000}"/>
    <hyperlink ref="G1217" r:id="rId1395" xr:uid="{00000000-0004-0000-0200-000072050000}"/>
    <hyperlink ref="F1220" r:id="rId1396" xr:uid="{00000000-0004-0000-0200-000073050000}"/>
    <hyperlink ref="F1222" r:id="rId1397" xr:uid="{00000000-0004-0000-0200-000074050000}"/>
    <hyperlink ref="F1223" r:id="rId1398" xr:uid="{00000000-0004-0000-0200-000075050000}"/>
    <hyperlink ref="S1223" r:id="rId1399" xr:uid="{00000000-0004-0000-0200-000076050000}"/>
    <hyperlink ref="F1224" r:id="rId1400" xr:uid="{00000000-0004-0000-0200-000077050000}"/>
    <hyperlink ref="G1224" r:id="rId1401" xr:uid="{00000000-0004-0000-0200-000078050000}"/>
    <hyperlink ref="G1225" r:id="rId1402" xr:uid="{00000000-0004-0000-0200-000079050000}"/>
    <hyperlink ref="F1226" r:id="rId1403" xr:uid="{00000000-0004-0000-0200-00007A050000}"/>
    <hyperlink ref="G1226" r:id="rId1404" xr:uid="{00000000-0004-0000-0200-00007B050000}"/>
    <hyperlink ref="F1227" r:id="rId1405" location=".XAp-sWJbMfA.twitter" xr:uid="{00000000-0004-0000-0200-00007C050000}"/>
    <hyperlink ref="F1229" r:id="rId1406" xr:uid="{00000000-0004-0000-0200-00007D050000}"/>
    <hyperlink ref="S1229" r:id="rId1407" xr:uid="{00000000-0004-0000-0200-00007E050000}"/>
    <hyperlink ref="F1230" r:id="rId1408" location="Echobox=1544187530" xr:uid="{00000000-0004-0000-0200-00007F050000}"/>
    <hyperlink ref="S1230" r:id="rId1409" xr:uid="{00000000-0004-0000-0200-000080050000}"/>
    <hyperlink ref="F1231" r:id="rId1410" xr:uid="{00000000-0004-0000-0200-000081050000}"/>
    <hyperlink ref="F1232" r:id="rId1411" xr:uid="{00000000-0004-0000-0200-000082050000}"/>
    <hyperlink ref="S1232" r:id="rId1412" xr:uid="{00000000-0004-0000-0200-000083050000}"/>
    <hyperlink ref="G1233" r:id="rId1413" xr:uid="{00000000-0004-0000-0200-000084050000}"/>
    <hyperlink ref="G1234" r:id="rId1414" xr:uid="{00000000-0004-0000-0200-000085050000}"/>
    <hyperlink ref="F1235" r:id="rId1415" xr:uid="{00000000-0004-0000-0200-000086050000}"/>
    <hyperlink ref="F1236" r:id="rId1416" xr:uid="{00000000-0004-0000-0200-000087050000}"/>
    <hyperlink ref="S1237" r:id="rId1417" xr:uid="{00000000-0004-0000-0200-000088050000}"/>
    <hyperlink ref="F1239" r:id="rId1418" xr:uid="{00000000-0004-0000-0200-000089050000}"/>
    <hyperlink ref="S1239" r:id="rId1419" xr:uid="{00000000-0004-0000-0200-00008A050000}"/>
    <hyperlink ref="G1240" r:id="rId1420" xr:uid="{00000000-0004-0000-0200-00008B050000}"/>
    <hyperlink ref="S1240" r:id="rId1421" xr:uid="{00000000-0004-0000-0200-00008C050000}"/>
    <hyperlink ref="F1241" r:id="rId1422" xr:uid="{00000000-0004-0000-0200-00008D050000}"/>
    <hyperlink ref="G1241" r:id="rId1423" xr:uid="{00000000-0004-0000-0200-00008E050000}"/>
    <hyperlink ref="S1241" r:id="rId1424" xr:uid="{00000000-0004-0000-0200-00008F050000}"/>
    <hyperlink ref="S1242" r:id="rId1425" xr:uid="{00000000-0004-0000-0200-000090050000}"/>
    <hyperlink ref="S1243" r:id="rId1426" xr:uid="{00000000-0004-0000-0200-000091050000}"/>
    <hyperlink ref="G1244" r:id="rId1427" xr:uid="{00000000-0004-0000-0200-000092050000}"/>
    <hyperlink ref="S1244" r:id="rId1428" xr:uid="{00000000-0004-0000-0200-000093050000}"/>
    <hyperlink ref="G1245" r:id="rId1429" xr:uid="{00000000-0004-0000-0200-000094050000}"/>
    <hyperlink ref="F1246" r:id="rId1430" xr:uid="{00000000-0004-0000-0200-000095050000}"/>
    <hyperlink ref="S1247" r:id="rId1431" xr:uid="{00000000-0004-0000-0200-000096050000}"/>
    <hyperlink ref="F1248" r:id="rId1432" xr:uid="{00000000-0004-0000-0200-000097050000}"/>
    <hyperlink ref="F1249" r:id="rId1433" xr:uid="{00000000-0004-0000-0200-000098050000}"/>
    <hyperlink ref="F1250" r:id="rId1434" xr:uid="{00000000-0004-0000-0200-000099050000}"/>
    <hyperlink ref="C1251" r:id="rId1435" xr:uid="{00000000-0004-0000-0200-00009A050000}"/>
    <hyperlink ref="F1251" r:id="rId1436" xr:uid="{00000000-0004-0000-0200-00009B050000}"/>
    <hyperlink ref="S1251" r:id="rId1437" xr:uid="{00000000-0004-0000-0200-00009C050000}"/>
    <hyperlink ref="F1252" r:id="rId1438" xr:uid="{00000000-0004-0000-0200-00009D050000}"/>
    <hyperlink ref="F1253" r:id="rId1439" xr:uid="{00000000-0004-0000-0200-00009E050000}"/>
    <hyperlink ref="S1253" r:id="rId1440" xr:uid="{00000000-0004-0000-0200-00009F050000}"/>
    <hyperlink ref="G1254" r:id="rId1441" xr:uid="{00000000-0004-0000-0200-0000A0050000}"/>
    <hyperlink ref="F1255" r:id="rId1442" xr:uid="{00000000-0004-0000-0200-0000A1050000}"/>
    <hyperlink ref="S1255" r:id="rId1443" xr:uid="{00000000-0004-0000-0200-0000A2050000}"/>
    <hyperlink ref="F1256" r:id="rId1444" xr:uid="{00000000-0004-0000-0200-0000A3050000}"/>
    <hyperlink ref="G1256" r:id="rId1445" xr:uid="{00000000-0004-0000-0200-0000A4050000}"/>
    <hyperlink ref="F1258" r:id="rId1446" xr:uid="{00000000-0004-0000-0200-0000A5050000}"/>
    <hyperlink ref="F1259" r:id="rId1447" xr:uid="{00000000-0004-0000-0200-0000A6050000}"/>
    <hyperlink ref="G1259" r:id="rId1448" xr:uid="{00000000-0004-0000-0200-0000A7050000}"/>
    <hyperlink ref="G1260" r:id="rId1449" xr:uid="{00000000-0004-0000-0200-0000A8050000}"/>
    <hyperlink ref="F1262" r:id="rId1450" xr:uid="{00000000-0004-0000-0200-0000A9050000}"/>
    <hyperlink ref="S1262" r:id="rId1451" xr:uid="{00000000-0004-0000-0200-0000AA050000}"/>
    <hyperlink ref="F1263" r:id="rId1452" xr:uid="{00000000-0004-0000-0200-0000AB050000}"/>
    <hyperlink ref="G1263" r:id="rId1453" xr:uid="{00000000-0004-0000-0200-0000AC050000}"/>
    <hyperlink ref="F1265" r:id="rId1454" xr:uid="{00000000-0004-0000-0200-0000AD050000}"/>
    <hyperlink ref="F1266" r:id="rId1455" xr:uid="{00000000-0004-0000-0200-0000AE050000}"/>
    <hyperlink ref="F1269" r:id="rId1456" xr:uid="{00000000-0004-0000-0200-0000AF050000}"/>
    <hyperlink ref="G1269" r:id="rId1457" xr:uid="{00000000-0004-0000-0200-0000B0050000}"/>
    <hyperlink ref="G1270" r:id="rId1458" xr:uid="{00000000-0004-0000-0200-0000B1050000}"/>
    <hyperlink ref="G1271" r:id="rId1459" xr:uid="{00000000-0004-0000-0200-0000B2050000}"/>
    <hyperlink ref="S1273" r:id="rId1460" xr:uid="{00000000-0004-0000-0200-0000B3050000}"/>
    <hyperlink ref="F1274" r:id="rId1461" xr:uid="{00000000-0004-0000-0200-0000B4050000}"/>
    <hyperlink ref="F1275" r:id="rId1462" xr:uid="{00000000-0004-0000-0200-0000B5050000}"/>
    <hyperlink ref="G1275" r:id="rId1463" xr:uid="{00000000-0004-0000-0200-0000B6050000}"/>
    <hyperlink ref="G1276" r:id="rId1464" xr:uid="{00000000-0004-0000-0200-0000B7050000}"/>
    <hyperlink ref="S1276" r:id="rId1465" xr:uid="{00000000-0004-0000-0200-0000B8050000}"/>
    <hyperlink ref="F1277" r:id="rId1466" xr:uid="{00000000-0004-0000-0200-0000B9050000}"/>
    <hyperlink ref="G1277" r:id="rId1467" xr:uid="{00000000-0004-0000-0200-0000BA050000}"/>
    <hyperlink ref="F1278" r:id="rId1468" xr:uid="{00000000-0004-0000-0200-0000BB050000}"/>
    <hyperlink ref="G1278" r:id="rId1469" xr:uid="{00000000-0004-0000-0200-0000BC050000}"/>
    <hyperlink ref="S1278" r:id="rId1470" xr:uid="{00000000-0004-0000-0200-0000BD050000}"/>
    <hyperlink ref="F1279" r:id="rId1471" xr:uid="{00000000-0004-0000-0200-0000BE050000}"/>
    <hyperlink ref="F1281" r:id="rId1472" location=".XApzjQrFBFg.twitter" xr:uid="{00000000-0004-0000-0200-0000BF050000}"/>
    <hyperlink ref="G1282" r:id="rId1473" xr:uid="{00000000-0004-0000-0200-0000C0050000}"/>
    <hyperlink ref="F1285" r:id="rId1474" xr:uid="{00000000-0004-0000-0200-0000C1050000}"/>
    <hyperlink ref="G1286" r:id="rId1475" xr:uid="{00000000-0004-0000-0200-0000C2050000}"/>
    <hyperlink ref="S1287" r:id="rId1476" xr:uid="{00000000-0004-0000-0200-0000C3050000}"/>
    <hyperlink ref="F1288" r:id="rId1477" xr:uid="{00000000-0004-0000-0200-0000C4050000}"/>
    <hyperlink ref="S1288" r:id="rId1478" xr:uid="{00000000-0004-0000-0200-0000C5050000}"/>
    <hyperlink ref="G1289" r:id="rId1479" xr:uid="{00000000-0004-0000-0200-0000C6050000}"/>
    <hyperlink ref="F1290" r:id="rId1480" xr:uid="{00000000-0004-0000-0200-0000C7050000}"/>
    <hyperlink ref="F1291" r:id="rId1481" xr:uid="{00000000-0004-0000-0200-0000C8050000}"/>
    <hyperlink ref="F1295" r:id="rId1482" xr:uid="{00000000-0004-0000-0200-0000C9050000}"/>
    <hyperlink ref="F1296" r:id="rId1483" xr:uid="{00000000-0004-0000-0200-0000CA050000}"/>
    <hyperlink ref="F1297" r:id="rId1484" location="Echobox=1544187698" xr:uid="{00000000-0004-0000-0200-0000CB050000}"/>
    <hyperlink ref="S1297" r:id="rId1485" xr:uid="{00000000-0004-0000-0200-0000CC050000}"/>
    <hyperlink ref="F1298" r:id="rId1486" xr:uid="{00000000-0004-0000-0200-0000CD050000}"/>
    <hyperlink ref="S1298" r:id="rId1487" xr:uid="{00000000-0004-0000-0200-0000CE050000}"/>
    <hyperlink ref="G1299" r:id="rId1488" xr:uid="{00000000-0004-0000-0200-0000CF050000}"/>
    <hyperlink ref="S1301" r:id="rId1489" xr:uid="{00000000-0004-0000-0200-0000D0050000}"/>
    <hyperlink ref="F1302" r:id="rId1490" xr:uid="{00000000-0004-0000-0200-0000D1050000}"/>
    <hyperlink ref="F1303" r:id="rId1491" xr:uid="{00000000-0004-0000-0200-0000D2050000}"/>
    <hyperlink ref="F1304" r:id="rId1492" xr:uid="{00000000-0004-0000-0200-0000D3050000}"/>
    <hyperlink ref="F1305" r:id="rId1493" xr:uid="{00000000-0004-0000-0200-0000D4050000}"/>
    <hyperlink ref="F1306" r:id="rId1494" xr:uid="{00000000-0004-0000-0200-0000D5050000}"/>
    <hyperlink ref="S1306" r:id="rId1495" xr:uid="{00000000-0004-0000-0200-0000D6050000}"/>
    <hyperlink ref="F1307" r:id="rId1496" xr:uid="{00000000-0004-0000-0200-0000D7050000}"/>
    <hyperlink ref="S1307" r:id="rId1497" xr:uid="{00000000-0004-0000-0200-0000D8050000}"/>
    <hyperlink ref="F1308" r:id="rId1498" xr:uid="{00000000-0004-0000-0200-0000D9050000}"/>
    <hyperlink ref="G1308" r:id="rId1499" xr:uid="{00000000-0004-0000-0200-0000DA050000}"/>
    <hyperlink ref="F1309" r:id="rId1500" location=".XApuYMWYKEl.twitter" xr:uid="{00000000-0004-0000-0200-0000DB050000}"/>
    <hyperlink ref="F1310" r:id="rId1501" xr:uid="{00000000-0004-0000-0200-0000DC050000}"/>
    <hyperlink ref="F1311" r:id="rId1502" xr:uid="{00000000-0004-0000-0200-0000DD050000}"/>
    <hyperlink ref="F1312" r:id="rId1503" xr:uid="{00000000-0004-0000-0200-0000DE050000}"/>
    <hyperlink ref="G1312" r:id="rId1504" xr:uid="{00000000-0004-0000-0200-0000DF050000}"/>
    <hyperlink ref="F1314" r:id="rId1505" xr:uid="{00000000-0004-0000-0200-0000E0050000}"/>
    <hyperlink ref="G1314" r:id="rId1506" xr:uid="{00000000-0004-0000-0200-0000E1050000}"/>
    <hyperlink ref="F1318" r:id="rId1507" xr:uid="{00000000-0004-0000-0200-0000E2050000}"/>
    <hyperlink ref="G1318" r:id="rId1508" xr:uid="{00000000-0004-0000-0200-0000E3050000}"/>
    <hyperlink ref="S1319" r:id="rId1509" xr:uid="{00000000-0004-0000-0200-0000E4050000}"/>
    <hyperlink ref="F1320" r:id="rId1510" xr:uid="{00000000-0004-0000-0200-0000E5050000}"/>
    <hyperlink ref="G1320" r:id="rId1511" xr:uid="{00000000-0004-0000-0200-0000E6050000}"/>
    <hyperlink ref="C1321" r:id="rId1512" xr:uid="{00000000-0004-0000-0200-0000E7050000}"/>
    <hyperlink ref="F1321" r:id="rId1513" xr:uid="{00000000-0004-0000-0200-0000E8050000}"/>
    <hyperlink ref="S1321" r:id="rId1514" xr:uid="{00000000-0004-0000-0200-0000E9050000}"/>
    <hyperlink ref="F1322" r:id="rId1515" xr:uid="{00000000-0004-0000-0200-0000EA050000}"/>
    <hyperlink ref="S1323" r:id="rId1516" xr:uid="{00000000-0004-0000-0200-0000EB050000}"/>
    <hyperlink ref="F1324" r:id="rId1517" xr:uid="{00000000-0004-0000-0200-0000EC050000}"/>
    <hyperlink ref="F1325" r:id="rId1518" xr:uid="{00000000-0004-0000-0200-0000ED050000}"/>
    <hyperlink ref="F1326" r:id="rId1519" xr:uid="{00000000-0004-0000-0200-0000EE050000}"/>
    <hyperlink ref="F1327" r:id="rId1520" xr:uid="{00000000-0004-0000-0200-0000EF050000}"/>
    <hyperlink ref="S1327" r:id="rId1521" xr:uid="{00000000-0004-0000-0200-0000F0050000}"/>
    <hyperlink ref="F1328" r:id="rId1522" xr:uid="{00000000-0004-0000-0200-0000F1050000}"/>
    <hyperlink ref="S1328" r:id="rId1523" xr:uid="{00000000-0004-0000-0200-0000F2050000}"/>
    <hyperlink ref="F1329" r:id="rId1524" xr:uid="{00000000-0004-0000-0200-0000F3050000}"/>
    <hyperlink ref="G1330" r:id="rId1525" xr:uid="{00000000-0004-0000-0200-0000F4050000}"/>
    <hyperlink ref="S1330" r:id="rId1526" xr:uid="{00000000-0004-0000-0200-0000F5050000}"/>
    <hyperlink ref="F1334" r:id="rId1527" xr:uid="{00000000-0004-0000-0200-0000F6050000}"/>
    <hyperlink ref="F1335" r:id="rId1528" xr:uid="{00000000-0004-0000-0200-0000F7050000}"/>
    <hyperlink ref="G1336" r:id="rId1529" xr:uid="{00000000-0004-0000-0200-0000F8050000}"/>
    <hyperlink ref="F1337" r:id="rId1530" xr:uid="{00000000-0004-0000-0200-0000F9050000}"/>
    <hyperlink ref="S1337" r:id="rId1531" xr:uid="{00000000-0004-0000-0200-0000FA050000}"/>
    <hyperlink ref="G1338" r:id="rId1532" xr:uid="{00000000-0004-0000-0200-0000FB050000}"/>
    <hyperlink ref="F1339" r:id="rId1533" xr:uid="{00000000-0004-0000-0200-0000FC050000}"/>
    <hyperlink ref="F1340" r:id="rId1534" location=".XApqAfFFNXU.twitter" xr:uid="{00000000-0004-0000-0200-0000FD050000}"/>
    <hyperlink ref="S1340" r:id="rId1535" xr:uid="{00000000-0004-0000-0200-0000FE050000}"/>
    <hyperlink ref="F1341" r:id="rId1536" xr:uid="{00000000-0004-0000-0200-0000FF050000}"/>
    <hyperlink ref="G1341" r:id="rId1537" xr:uid="{00000000-0004-0000-0200-000000060000}"/>
    <hyperlink ref="F1342" r:id="rId1538" xr:uid="{00000000-0004-0000-0200-000001060000}"/>
    <hyperlink ref="F1347" r:id="rId1539" xr:uid="{00000000-0004-0000-0200-000002060000}"/>
    <hyperlink ref="F1348" r:id="rId1540" xr:uid="{00000000-0004-0000-0200-000003060000}"/>
    <hyperlink ref="F1349" r:id="rId1541" xr:uid="{00000000-0004-0000-0200-000004060000}"/>
    <hyperlink ref="F1351" r:id="rId1542" xr:uid="{00000000-0004-0000-0200-000005060000}"/>
    <hyperlink ref="G1351" r:id="rId1543" xr:uid="{00000000-0004-0000-0200-000006060000}"/>
    <hyperlink ref="F1353" r:id="rId1544" xr:uid="{00000000-0004-0000-0200-000007060000}"/>
    <hyperlink ref="F1354" r:id="rId1545" xr:uid="{00000000-0004-0000-0200-000008060000}"/>
    <hyperlink ref="F1356" r:id="rId1546" xr:uid="{00000000-0004-0000-0200-000009060000}"/>
    <hyperlink ref="G1356" r:id="rId1547" xr:uid="{00000000-0004-0000-0200-00000A060000}"/>
    <hyperlink ref="F1357" r:id="rId1548" xr:uid="{00000000-0004-0000-0200-00000B060000}"/>
    <hyperlink ref="G1357" r:id="rId1549" xr:uid="{00000000-0004-0000-0200-00000C060000}"/>
    <hyperlink ref="F1360" r:id="rId1550" xr:uid="{00000000-0004-0000-0200-00000D060000}"/>
    <hyperlink ref="F1361" r:id="rId1551" xr:uid="{00000000-0004-0000-0200-00000E060000}"/>
    <hyperlink ref="F1362" r:id="rId1552" xr:uid="{00000000-0004-0000-0200-00000F060000}"/>
    <hyperlink ref="S1362" r:id="rId1553" xr:uid="{00000000-0004-0000-0200-000010060000}"/>
    <hyperlink ref="G1363" r:id="rId1554" xr:uid="{00000000-0004-0000-0200-000011060000}"/>
    <hyperlink ref="G1364" r:id="rId1555" xr:uid="{00000000-0004-0000-0200-000012060000}"/>
    <hyperlink ref="F1367" r:id="rId1556" xr:uid="{00000000-0004-0000-0200-000013060000}"/>
    <hyperlink ref="F1369" r:id="rId1557" xr:uid="{00000000-0004-0000-0200-000014060000}"/>
    <hyperlink ref="S1369" r:id="rId1558" xr:uid="{00000000-0004-0000-0200-000015060000}"/>
    <hyperlink ref="S1370" r:id="rId1559" xr:uid="{00000000-0004-0000-0200-000016060000}"/>
    <hyperlink ref="F1371" r:id="rId1560" xr:uid="{00000000-0004-0000-0200-000017060000}"/>
    <hyperlink ref="F1372" r:id="rId1561" xr:uid="{00000000-0004-0000-0200-000018060000}"/>
    <hyperlink ref="G1372" r:id="rId1562" xr:uid="{00000000-0004-0000-0200-000019060000}"/>
    <hyperlink ref="F1373" r:id="rId1563" xr:uid="{00000000-0004-0000-0200-00001A060000}"/>
    <hyperlink ref="F1376" r:id="rId1564" xr:uid="{00000000-0004-0000-0200-00001B060000}"/>
    <hyperlink ref="G1377" r:id="rId1565" xr:uid="{00000000-0004-0000-0200-00001C060000}"/>
    <hyperlink ref="F1379" r:id="rId1566" xr:uid="{00000000-0004-0000-0200-00001D060000}"/>
    <hyperlink ref="F1381" r:id="rId1567" xr:uid="{00000000-0004-0000-0200-00001E060000}"/>
    <hyperlink ref="S1381" r:id="rId1568" xr:uid="{00000000-0004-0000-0200-00001F060000}"/>
    <hyperlink ref="C1382" r:id="rId1569" xr:uid="{00000000-0004-0000-0200-000020060000}"/>
    <hyperlink ref="F1382" r:id="rId1570" xr:uid="{00000000-0004-0000-0200-000021060000}"/>
    <hyperlink ref="S1382" r:id="rId1571" xr:uid="{00000000-0004-0000-0200-000022060000}"/>
    <hyperlink ref="F1383" r:id="rId1572" xr:uid="{00000000-0004-0000-0200-000023060000}"/>
    <hyperlink ref="G1384" r:id="rId1573" xr:uid="{00000000-0004-0000-0200-000024060000}"/>
    <hyperlink ref="F1385" r:id="rId1574" xr:uid="{00000000-0004-0000-0200-000025060000}"/>
    <hyperlink ref="G1385" r:id="rId1575" xr:uid="{00000000-0004-0000-0200-000026060000}"/>
    <hyperlink ref="F1386" r:id="rId1576" xr:uid="{00000000-0004-0000-0200-000027060000}"/>
    <hyperlink ref="F1387" r:id="rId1577" xr:uid="{00000000-0004-0000-0200-000028060000}"/>
    <hyperlink ref="G1387" r:id="rId1578" xr:uid="{00000000-0004-0000-0200-000029060000}"/>
    <hyperlink ref="S1387" r:id="rId1579" xr:uid="{00000000-0004-0000-0200-00002A060000}"/>
    <hyperlink ref="F1388" r:id="rId1580" xr:uid="{00000000-0004-0000-0200-00002B060000}"/>
    <hyperlink ref="F1389" r:id="rId1581" xr:uid="{00000000-0004-0000-0200-00002C060000}"/>
    <hyperlink ref="S1389" r:id="rId1582" xr:uid="{00000000-0004-0000-0200-00002D060000}"/>
    <hyperlink ref="G1390" r:id="rId1583" xr:uid="{00000000-0004-0000-0200-00002E060000}"/>
    <hyperlink ref="S1390" r:id="rId1584" xr:uid="{00000000-0004-0000-0200-00002F060000}"/>
    <hyperlink ref="F1392" r:id="rId1585" xr:uid="{00000000-0004-0000-0200-000030060000}"/>
    <hyperlink ref="F1393" r:id="rId1586" xr:uid="{00000000-0004-0000-0200-000031060000}"/>
    <hyperlink ref="G1393" r:id="rId1587" xr:uid="{00000000-0004-0000-0200-000032060000}"/>
    <hyperlink ref="G1395" r:id="rId1588" xr:uid="{00000000-0004-0000-0200-000033060000}"/>
    <hyperlink ref="S1395" r:id="rId1589" xr:uid="{00000000-0004-0000-0200-000034060000}"/>
    <hyperlink ref="F1396" r:id="rId1590" xr:uid="{00000000-0004-0000-0200-000035060000}"/>
    <hyperlink ref="S1397" r:id="rId1591" xr:uid="{00000000-0004-0000-0200-000036060000}"/>
    <hyperlink ref="F1399" r:id="rId1592" xr:uid="{00000000-0004-0000-0200-000037060000}"/>
    <hyperlink ref="S1401" r:id="rId1593" xr:uid="{00000000-0004-0000-0200-000038060000}"/>
    <hyperlink ref="G1403" r:id="rId1594" xr:uid="{00000000-0004-0000-0200-000039060000}"/>
    <hyperlink ref="F1404" r:id="rId1595" xr:uid="{00000000-0004-0000-0200-00003A060000}"/>
    <hyperlink ref="C1406" r:id="rId1596" xr:uid="{00000000-0004-0000-0200-00003B060000}"/>
    <hyperlink ref="F1406" r:id="rId1597" xr:uid="{00000000-0004-0000-0200-00003C060000}"/>
    <hyperlink ref="S1406" r:id="rId1598" xr:uid="{00000000-0004-0000-0200-00003D060000}"/>
    <hyperlink ref="F1407" r:id="rId1599" xr:uid="{00000000-0004-0000-0200-00003E060000}"/>
    <hyperlink ref="S1407" r:id="rId1600" xr:uid="{00000000-0004-0000-0200-00003F060000}"/>
    <hyperlink ref="S1408" r:id="rId1601" xr:uid="{00000000-0004-0000-0200-000040060000}"/>
    <hyperlink ref="G1409" r:id="rId1602" xr:uid="{00000000-0004-0000-0200-000041060000}"/>
    <hyperlink ref="S1409" r:id="rId1603" xr:uid="{00000000-0004-0000-0200-000042060000}"/>
    <hyperlink ref="F1410" r:id="rId1604" xr:uid="{00000000-0004-0000-0200-000043060000}"/>
    <hyperlink ref="F1411" r:id="rId1605" xr:uid="{00000000-0004-0000-0200-000044060000}"/>
    <hyperlink ref="G1411" r:id="rId1606" xr:uid="{00000000-0004-0000-0200-000045060000}"/>
    <hyperlink ref="F1412" r:id="rId1607" xr:uid="{00000000-0004-0000-0200-000046060000}"/>
    <hyperlink ref="F1413" r:id="rId1608" xr:uid="{00000000-0004-0000-0200-000047060000}"/>
    <hyperlink ref="G1413" r:id="rId1609" xr:uid="{00000000-0004-0000-0200-000048060000}"/>
    <hyperlink ref="F1414" r:id="rId1610" xr:uid="{00000000-0004-0000-0200-000049060000}"/>
    <hyperlink ref="S1415" r:id="rId1611" xr:uid="{00000000-0004-0000-0200-00004A060000}"/>
    <hyperlink ref="G1416" r:id="rId1612" xr:uid="{00000000-0004-0000-0200-00004B060000}"/>
    <hyperlink ref="F1418" r:id="rId1613" xr:uid="{00000000-0004-0000-0200-00004C060000}"/>
    <hyperlink ref="G1418" r:id="rId1614" xr:uid="{00000000-0004-0000-0200-00004D060000}"/>
    <hyperlink ref="F1419" r:id="rId1615" xr:uid="{00000000-0004-0000-0200-00004E060000}"/>
    <hyperlink ref="S1419" r:id="rId1616" xr:uid="{00000000-0004-0000-0200-00004F060000}"/>
    <hyperlink ref="F1420" r:id="rId1617" location="ns_campaign=rrss-inducido&amp;ns_mchannel=abc-es&amp;ns_source=tw&amp;ns_linkname=noticia-foto&amp;ns_fee=0" xr:uid="{00000000-0004-0000-0200-000050060000}"/>
    <hyperlink ref="F1421" r:id="rId1618" xr:uid="{00000000-0004-0000-0200-000051060000}"/>
    <hyperlink ref="S1421" r:id="rId1619" xr:uid="{00000000-0004-0000-0200-000052060000}"/>
    <hyperlink ref="G1422" r:id="rId1620" xr:uid="{00000000-0004-0000-0200-000053060000}"/>
    <hyperlink ref="S1422" r:id="rId1621" xr:uid="{00000000-0004-0000-0200-000054060000}"/>
    <hyperlink ref="F1423" r:id="rId1622" xr:uid="{00000000-0004-0000-0200-000055060000}"/>
    <hyperlink ref="S1423" r:id="rId1623" xr:uid="{00000000-0004-0000-0200-000056060000}"/>
    <hyperlink ref="S1425" r:id="rId1624" xr:uid="{00000000-0004-0000-0200-000057060000}"/>
    <hyperlink ref="G1426" r:id="rId1625" xr:uid="{00000000-0004-0000-0200-000058060000}"/>
    <hyperlink ref="F1427" r:id="rId1626" xr:uid="{00000000-0004-0000-0200-000059060000}"/>
    <hyperlink ref="G1428" r:id="rId1627" xr:uid="{00000000-0004-0000-0200-00005A060000}"/>
    <hyperlink ref="C1430" r:id="rId1628" xr:uid="{00000000-0004-0000-0200-00005B060000}"/>
    <hyperlink ref="F1430" r:id="rId1629" xr:uid="{00000000-0004-0000-0200-00005C060000}"/>
    <hyperlink ref="S1430" r:id="rId1630" xr:uid="{00000000-0004-0000-0200-00005D060000}"/>
    <hyperlink ref="F1434" r:id="rId1631" xr:uid="{00000000-0004-0000-0200-00005E060000}"/>
    <hyperlink ref="S1434" r:id="rId1632" xr:uid="{00000000-0004-0000-0200-00005F060000}"/>
    <hyperlink ref="G1437" r:id="rId1633" xr:uid="{00000000-0004-0000-0200-000060060000}"/>
    <hyperlink ref="F1438" r:id="rId1634" xr:uid="{00000000-0004-0000-0200-000061060000}"/>
    <hyperlink ref="G1438" r:id="rId1635" xr:uid="{00000000-0004-0000-0200-000062060000}"/>
    <hyperlink ref="F1440" r:id="rId1636" xr:uid="{00000000-0004-0000-0200-000063060000}"/>
    <hyperlink ref="S1440" r:id="rId1637" xr:uid="{00000000-0004-0000-0200-000064060000}"/>
    <hyperlink ref="S1441" r:id="rId1638" xr:uid="{00000000-0004-0000-0200-000065060000}"/>
    <hyperlink ref="F1444" r:id="rId1639" location=".XApUFZ3qk5M.twitter" xr:uid="{00000000-0004-0000-0200-000066060000}"/>
    <hyperlink ref="G1445" r:id="rId1640" xr:uid="{00000000-0004-0000-0200-000067060000}"/>
    <hyperlink ref="S1446" r:id="rId1641" xr:uid="{00000000-0004-0000-0200-000068060000}"/>
    <hyperlink ref="F1447" r:id="rId1642" xr:uid="{00000000-0004-0000-0200-000069060000}"/>
    <hyperlink ref="S1447" r:id="rId1643" xr:uid="{00000000-0004-0000-0200-00006A060000}"/>
    <hyperlink ref="F1449" r:id="rId1644" xr:uid="{00000000-0004-0000-0200-00006B060000}"/>
    <hyperlink ref="G1454" r:id="rId1645" xr:uid="{00000000-0004-0000-0200-00006C060000}"/>
    <hyperlink ref="S1454" r:id="rId1646" xr:uid="{00000000-0004-0000-0200-00006D060000}"/>
    <hyperlink ref="G1455" r:id="rId1647" xr:uid="{00000000-0004-0000-0200-00006E060000}"/>
    <hyperlink ref="G1456" r:id="rId1648" xr:uid="{00000000-0004-0000-0200-00006F060000}"/>
    <hyperlink ref="S1456" r:id="rId1649" xr:uid="{00000000-0004-0000-0200-000070060000}"/>
    <hyperlink ref="F1457" r:id="rId1650" xr:uid="{00000000-0004-0000-0200-000071060000}"/>
    <hyperlink ref="F1458" r:id="rId1651" xr:uid="{00000000-0004-0000-0200-000072060000}"/>
    <hyperlink ref="F1459" r:id="rId1652" xr:uid="{00000000-0004-0000-0200-000073060000}"/>
    <hyperlink ref="F1461" r:id="rId1653" xr:uid="{00000000-0004-0000-0200-000074060000}"/>
    <hyperlink ref="S1463" r:id="rId1654" xr:uid="{00000000-0004-0000-0200-000075060000}"/>
    <hyperlink ref="F1464" r:id="rId1655" location=".XApQ55TwN-Q.facebook" xr:uid="{00000000-0004-0000-0200-000076060000}"/>
    <hyperlink ref="S1464" r:id="rId1656" xr:uid="{00000000-0004-0000-0200-000077060000}"/>
    <hyperlink ref="F1466" r:id="rId1657" xr:uid="{00000000-0004-0000-0200-000078060000}"/>
    <hyperlink ref="F1469" r:id="rId1658" xr:uid="{00000000-0004-0000-0200-000079060000}"/>
    <hyperlink ref="G1469" r:id="rId1659" xr:uid="{00000000-0004-0000-0200-00007A060000}"/>
    <hyperlink ref="F1470" r:id="rId1660" xr:uid="{00000000-0004-0000-0200-00007B060000}"/>
    <hyperlink ref="F1471" r:id="rId1661" xr:uid="{00000000-0004-0000-0200-00007C060000}"/>
    <hyperlink ref="G1471" r:id="rId1662" xr:uid="{00000000-0004-0000-0200-00007D060000}"/>
    <hyperlink ref="G1472" r:id="rId1663" xr:uid="{00000000-0004-0000-0200-00007E060000}"/>
    <hyperlink ref="F1473" r:id="rId1664" xr:uid="{00000000-0004-0000-0200-00007F060000}"/>
    <hyperlink ref="F1474" r:id="rId1665" xr:uid="{00000000-0004-0000-0200-000080060000}"/>
    <hyperlink ref="F1475" r:id="rId1666" xr:uid="{00000000-0004-0000-0200-000081060000}"/>
    <hyperlink ref="F1476" r:id="rId1667" xr:uid="{00000000-0004-0000-0200-000082060000}"/>
    <hyperlink ref="R1476" r:id="rId1668" xr:uid="{00000000-0004-0000-0200-000083060000}"/>
    <hyperlink ref="S1476" r:id="rId1669" xr:uid="{00000000-0004-0000-0200-000084060000}"/>
    <hyperlink ref="F1478" r:id="rId1670" xr:uid="{00000000-0004-0000-0200-000085060000}"/>
    <hyperlink ref="F1479" r:id="rId1671" xr:uid="{00000000-0004-0000-0200-000086060000}"/>
    <hyperlink ref="G1479" r:id="rId1672" xr:uid="{00000000-0004-0000-0200-000087060000}"/>
    <hyperlink ref="S1479" r:id="rId1673" xr:uid="{00000000-0004-0000-0200-000088060000}"/>
    <hyperlink ref="F1480" r:id="rId1674" xr:uid="{00000000-0004-0000-0200-000089060000}"/>
    <hyperlink ref="F1482" r:id="rId1675" location=".XAfS7SE-6H8.whatsapp" xr:uid="{00000000-0004-0000-0200-00008A060000}"/>
    <hyperlink ref="F1485" r:id="rId1676" xr:uid="{00000000-0004-0000-0200-00008B060000}"/>
    <hyperlink ref="F1486" r:id="rId1677" xr:uid="{00000000-0004-0000-0200-00008C060000}"/>
    <hyperlink ref="S1486" r:id="rId1678" xr:uid="{00000000-0004-0000-0200-00008D060000}"/>
    <hyperlink ref="F1487" r:id="rId1679" xr:uid="{00000000-0004-0000-0200-00008E060000}"/>
    <hyperlink ref="G1487" r:id="rId1680" xr:uid="{00000000-0004-0000-0200-00008F060000}"/>
    <hyperlink ref="F1488" r:id="rId1681" xr:uid="{00000000-0004-0000-0200-000090060000}"/>
    <hyperlink ref="S1488" r:id="rId1682" xr:uid="{00000000-0004-0000-0200-000091060000}"/>
    <hyperlink ref="F1489" r:id="rId1683" xr:uid="{00000000-0004-0000-0200-000092060000}"/>
    <hyperlink ref="G1489" r:id="rId1684" xr:uid="{00000000-0004-0000-0200-000093060000}"/>
    <hyperlink ref="F1490" r:id="rId1685" xr:uid="{00000000-0004-0000-0200-000094060000}"/>
    <hyperlink ref="F1491" r:id="rId1686" xr:uid="{00000000-0004-0000-0200-000095060000}"/>
    <hyperlink ref="G1492" r:id="rId1687" xr:uid="{00000000-0004-0000-0200-000096060000}"/>
    <hyperlink ref="S1492" r:id="rId1688" xr:uid="{00000000-0004-0000-0200-000097060000}"/>
    <hyperlink ref="F1496" r:id="rId1689" xr:uid="{00000000-0004-0000-0200-000098060000}"/>
    <hyperlink ref="S1496" r:id="rId1690" xr:uid="{00000000-0004-0000-0200-000099060000}"/>
    <hyperlink ref="F1497" r:id="rId1691" xr:uid="{00000000-0004-0000-0200-00009A060000}"/>
    <hyperlink ref="F1501" r:id="rId1692" xr:uid="{00000000-0004-0000-0200-00009B060000}"/>
    <hyperlink ref="S1501" r:id="rId1693" xr:uid="{00000000-0004-0000-0200-00009C060000}"/>
    <hyperlink ref="F1503" r:id="rId1694" xr:uid="{00000000-0004-0000-0200-00009D060000}"/>
    <hyperlink ref="F1504" r:id="rId1695" xr:uid="{00000000-0004-0000-0200-00009E060000}"/>
    <hyperlink ref="F1505" r:id="rId1696" xr:uid="{00000000-0004-0000-0200-00009F060000}"/>
    <hyperlink ref="G1505" r:id="rId1697" xr:uid="{00000000-0004-0000-0200-0000A0060000}"/>
    <hyperlink ref="S1506" r:id="rId1698" xr:uid="{00000000-0004-0000-0200-0000A1060000}"/>
    <hyperlink ref="F1507" r:id="rId1699" xr:uid="{00000000-0004-0000-0200-0000A2060000}"/>
    <hyperlink ref="F1509" r:id="rId1700" xr:uid="{00000000-0004-0000-0200-0000A3060000}"/>
    <hyperlink ref="S1509" r:id="rId1701" xr:uid="{00000000-0004-0000-0200-0000A4060000}"/>
    <hyperlink ref="F1510" r:id="rId1702" xr:uid="{00000000-0004-0000-0200-0000A5060000}"/>
    <hyperlink ref="F1511" r:id="rId1703" xr:uid="{00000000-0004-0000-0200-0000A6060000}"/>
    <hyperlink ref="S1513" r:id="rId1704" xr:uid="{00000000-0004-0000-0200-0000A7060000}"/>
    <hyperlink ref="F1514" r:id="rId1705" xr:uid="{00000000-0004-0000-0200-0000A8060000}"/>
    <hyperlink ref="S1514" r:id="rId1706" xr:uid="{00000000-0004-0000-0200-0000A9060000}"/>
    <hyperlink ref="F1515" r:id="rId1707" xr:uid="{00000000-0004-0000-0200-0000AA060000}"/>
    <hyperlink ref="F1516" r:id="rId1708" xr:uid="{00000000-0004-0000-0200-0000AB060000}"/>
    <hyperlink ref="S1516" r:id="rId1709" xr:uid="{00000000-0004-0000-0200-0000AC060000}"/>
    <hyperlink ref="G1517" r:id="rId1710" xr:uid="{00000000-0004-0000-0200-0000AD060000}"/>
    <hyperlink ref="G1518" r:id="rId1711" xr:uid="{00000000-0004-0000-0200-0000AE060000}"/>
    <hyperlink ref="S1518" r:id="rId1712" xr:uid="{00000000-0004-0000-0200-0000AF060000}"/>
    <hyperlink ref="F1520" r:id="rId1713" xr:uid="{00000000-0004-0000-0200-0000B0060000}"/>
    <hyperlink ref="S1520" r:id="rId1714" xr:uid="{00000000-0004-0000-0200-0000B1060000}"/>
    <hyperlink ref="F1521" r:id="rId1715" xr:uid="{00000000-0004-0000-0200-0000B2060000}"/>
    <hyperlink ref="F1522" r:id="rId1716" xr:uid="{00000000-0004-0000-0200-0000B3060000}"/>
    <hyperlink ref="F1523" r:id="rId1717" xr:uid="{00000000-0004-0000-0200-0000B4060000}"/>
    <hyperlink ref="F1524" r:id="rId1718" xr:uid="{00000000-0004-0000-0200-0000B5060000}"/>
    <hyperlink ref="F1525" r:id="rId1719" xr:uid="{00000000-0004-0000-0200-0000B6060000}"/>
    <hyperlink ref="F1527" r:id="rId1720" xr:uid="{00000000-0004-0000-0200-0000B7060000}"/>
    <hyperlink ref="G1529" r:id="rId1721" xr:uid="{00000000-0004-0000-0200-0000B8060000}"/>
    <hyperlink ref="F1530" r:id="rId1722" xr:uid="{00000000-0004-0000-0200-0000B9060000}"/>
    <hyperlink ref="S1531" r:id="rId1723" xr:uid="{00000000-0004-0000-0200-0000BA060000}"/>
    <hyperlink ref="G1532" r:id="rId1724" xr:uid="{00000000-0004-0000-0200-0000BB060000}"/>
    <hyperlink ref="S1532" r:id="rId1725" xr:uid="{00000000-0004-0000-0200-0000BC060000}"/>
    <hyperlink ref="F1533" r:id="rId1726" xr:uid="{00000000-0004-0000-0200-0000BD060000}"/>
    <hyperlink ref="G1533" r:id="rId1727" xr:uid="{00000000-0004-0000-0200-0000BE060000}"/>
    <hyperlink ref="C1534" r:id="rId1728" xr:uid="{00000000-0004-0000-0200-0000BF060000}"/>
    <hyperlink ref="F1534" r:id="rId1729" xr:uid="{00000000-0004-0000-0200-0000C0060000}"/>
    <hyperlink ref="S1534" r:id="rId1730" xr:uid="{00000000-0004-0000-0200-0000C1060000}"/>
    <hyperlink ref="F1535" r:id="rId1731" xr:uid="{00000000-0004-0000-0200-0000C2060000}"/>
    <hyperlink ref="G1535" r:id="rId1732" xr:uid="{00000000-0004-0000-0200-0000C3060000}"/>
    <hyperlink ref="F1537" r:id="rId1733" xr:uid="{00000000-0004-0000-0200-0000C4060000}"/>
    <hyperlink ref="S1538" r:id="rId1734" xr:uid="{00000000-0004-0000-0200-0000C5060000}"/>
    <hyperlink ref="F1539" r:id="rId1735" xr:uid="{00000000-0004-0000-0200-0000C6060000}"/>
    <hyperlink ref="F1540" r:id="rId1736" xr:uid="{00000000-0004-0000-0200-0000C7060000}"/>
    <hyperlink ref="G1540" r:id="rId1737" xr:uid="{00000000-0004-0000-0200-0000C8060000}"/>
    <hyperlink ref="F1541" r:id="rId1738" xr:uid="{00000000-0004-0000-0200-0000C9060000}"/>
    <hyperlink ref="G1541" r:id="rId1739" xr:uid="{00000000-0004-0000-0200-0000CA060000}"/>
    <hyperlink ref="S1541" r:id="rId1740" xr:uid="{00000000-0004-0000-0200-0000CB060000}"/>
    <hyperlink ref="G1542" r:id="rId1741" xr:uid="{00000000-0004-0000-0200-0000CC060000}"/>
    <hyperlink ref="S1543" r:id="rId1742" xr:uid="{00000000-0004-0000-0200-0000CD060000}"/>
    <hyperlink ref="F1547" r:id="rId1743" xr:uid="{00000000-0004-0000-0200-0000CE060000}"/>
    <hyperlink ref="G1547" r:id="rId1744" xr:uid="{00000000-0004-0000-0200-0000CF060000}"/>
    <hyperlink ref="F1548" r:id="rId1745" xr:uid="{00000000-0004-0000-0200-0000D0060000}"/>
    <hyperlink ref="G1549" r:id="rId1746" xr:uid="{00000000-0004-0000-0200-0000D1060000}"/>
    <hyperlink ref="S1549" r:id="rId1747" xr:uid="{00000000-0004-0000-0200-0000D2060000}"/>
    <hyperlink ref="F1551" r:id="rId1748" xr:uid="{00000000-0004-0000-0200-0000D3060000}"/>
    <hyperlink ref="F1552" r:id="rId1749" xr:uid="{00000000-0004-0000-0200-0000D4060000}"/>
    <hyperlink ref="S1552" r:id="rId1750" xr:uid="{00000000-0004-0000-0200-0000D5060000}"/>
    <hyperlink ref="F1553" r:id="rId1751" xr:uid="{00000000-0004-0000-0200-0000D6060000}"/>
    <hyperlink ref="F1555" r:id="rId1752" xr:uid="{00000000-0004-0000-0200-0000D7060000}"/>
    <hyperlink ref="F1556" r:id="rId1753" xr:uid="{00000000-0004-0000-0200-0000D8060000}"/>
    <hyperlink ref="F1557" r:id="rId1754" xr:uid="{00000000-0004-0000-0200-0000D9060000}"/>
    <hyperlink ref="S1557" r:id="rId1755" xr:uid="{00000000-0004-0000-0200-0000DA060000}"/>
    <hyperlink ref="F1558" r:id="rId1756" xr:uid="{00000000-0004-0000-0200-0000DB060000}"/>
    <hyperlink ref="R1558" r:id="rId1757" xr:uid="{00000000-0004-0000-0200-0000DC060000}"/>
    <hyperlink ref="S1558" r:id="rId1758" xr:uid="{00000000-0004-0000-0200-0000DD060000}"/>
    <hyperlink ref="F1559" r:id="rId1759" xr:uid="{00000000-0004-0000-0200-0000DE060000}"/>
    <hyperlink ref="S1559" r:id="rId1760" xr:uid="{00000000-0004-0000-0200-0000DF060000}"/>
    <hyperlink ref="F1560" r:id="rId1761" xr:uid="{00000000-0004-0000-0200-0000E0060000}"/>
    <hyperlink ref="F1561" r:id="rId1762" xr:uid="{00000000-0004-0000-0200-0000E1060000}"/>
    <hyperlink ref="G1562" r:id="rId1763" xr:uid="{00000000-0004-0000-0200-0000E2060000}"/>
    <hyperlink ref="F1563" r:id="rId1764" xr:uid="{00000000-0004-0000-0200-0000E3060000}"/>
    <hyperlink ref="S1563" r:id="rId1765" xr:uid="{00000000-0004-0000-0200-0000E4060000}"/>
    <hyperlink ref="F1564" r:id="rId1766" xr:uid="{00000000-0004-0000-0200-0000E5060000}"/>
    <hyperlink ref="F1565" r:id="rId1767" xr:uid="{00000000-0004-0000-0200-0000E6060000}"/>
    <hyperlink ref="S1566" r:id="rId1768" xr:uid="{00000000-0004-0000-0200-0000E7060000}"/>
    <hyperlink ref="F1568" r:id="rId1769" xr:uid="{00000000-0004-0000-0200-0000E8060000}"/>
    <hyperlink ref="F1571" r:id="rId1770" xr:uid="{00000000-0004-0000-0200-0000E9060000}"/>
    <hyperlink ref="S1572" r:id="rId1771" xr:uid="{00000000-0004-0000-0200-0000EA060000}"/>
    <hyperlink ref="F1573" r:id="rId1772" xr:uid="{00000000-0004-0000-0200-0000EB060000}"/>
    <hyperlink ref="S1573" r:id="rId1773" xr:uid="{00000000-0004-0000-0200-0000EC060000}"/>
    <hyperlink ref="G1574" r:id="rId1774" xr:uid="{00000000-0004-0000-0200-0000ED060000}"/>
    <hyperlink ref="F1575" r:id="rId1775" xr:uid="{00000000-0004-0000-0200-0000EE060000}"/>
    <hyperlink ref="G1575" r:id="rId1776" xr:uid="{00000000-0004-0000-0200-0000EF060000}"/>
    <hyperlink ref="S1575" r:id="rId1777" xr:uid="{00000000-0004-0000-0200-0000F0060000}"/>
    <hyperlink ref="F1576" r:id="rId1778" xr:uid="{00000000-0004-0000-0200-0000F1060000}"/>
    <hyperlink ref="F1578" r:id="rId1779" xr:uid="{00000000-0004-0000-0200-0000F2060000}"/>
    <hyperlink ref="F1579" r:id="rId1780" xr:uid="{00000000-0004-0000-0200-0000F3060000}"/>
    <hyperlink ref="G1579" r:id="rId1781" xr:uid="{00000000-0004-0000-0200-0000F4060000}"/>
    <hyperlink ref="S1579" r:id="rId1782" xr:uid="{00000000-0004-0000-0200-0000F5060000}"/>
    <hyperlink ref="F1581" r:id="rId1783" xr:uid="{00000000-0004-0000-0200-0000F6060000}"/>
    <hyperlink ref="G1581" r:id="rId1784" xr:uid="{00000000-0004-0000-0200-0000F7060000}"/>
    <hyperlink ref="S1581" r:id="rId1785" xr:uid="{00000000-0004-0000-0200-0000F8060000}"/>
    <hyperlink ref="F1582" r:id="rId1786" xr:uid="{00000000-0004-0000-0200-0000F9060000}"/>
    <hyperlink ref="G1582" r:id="rId1787" xr:uid="{00000000-0004-0000-0200-0000FA060000}"/>
    <hyperlink ref="S1582" r:id="rId1788" xr:uid="{00000000-0004-0000-0200-0000FB060000}"/>
    <hyperlink ref="F1584" r:id="rId1789" xr:uid="{00000000-0004-0000-0200-0000FC060000}"/>
    <hyperlink ref="G1584" r:id="rId1790" xr:uid="{00000000-0004-0000-0200-0000FD060000}"/>
    <hyperlink ref="S1584" r:id="rId1791" xr:uid="{00000000-0004-0000-0200-0000FE060000}"/>
    <hyperlink ref="F1586" r:id="rId1792" xr:uid="{00000000-0004-0000-0200-0000FF060000}"/>
    <hyperlink ref="S1586" r:id="rId1793" xr:uid="{00000000-0004-0000-0200-000000070000}"/>
    <hyperlink ref="G1587" r:id="rId1794" xr:uid="{00000000-0004-0000-0200-000001070000}"/>
    <hyperlink ref="G1588" r:id="rId1795" xr:uid="{00000000-0004-0000-0200-000002070000}"/>
    <hyperlink ref="S1588" r:id="rId1796" xr:uid="{00000000-0004-0000-0200-000003070000}"/>
    <hyperlink ref="F1589" r:id="rId1797" xr:uid="{00000000-0004-0000-0200-000004070000}"/>
    <hyperlink ref="F1591" r:id="rId1798" xr:uid="{00000000-0004-0000-0200-000005070000}"/>
    <hyperlink ref="G1591" r:id="rId1799" xr:uid="{00000000-0004-0000-0200-000006070000}"/>
    <hyperlink ref="F1592" r:id="rId1800" xr:uid="{00000000-0004-0000-0200-000007070000}"/>
    <hyperlink ref="S1592" r:id="rId1801" xr:uid="{00000000-0004-0000-0200-000008070000}"/>
    <hyperlink ref="F1593" r:id="rId1802" xr:uid="{00000000-0004-0000-0200-000009070000}"/>
    <hyperlink ref="G1593" r:id="rId1803" xr:uid="{00000000-0004-0000-0200-00000A070000}"/>
    <hyperlink ref="F1595" r:id="rId1804" xr:uid="{00000000-0004-0000-0200-00000B070000}"/>
    <hyperlink ref="G1595" r:id="rId1805" xr:uid="{00000000-0004-0000-0200-00000C070000}"/>
    <hyperlink ref="S1596" r:id="rId1806" xr:uid="{00000000-0004-0000-0200-00000D070000}"/>
    <hyperlink ref="G1598" r:id="rId1807" xr:uid="{00000000-0004-0000-0200-00000E070000}"/>
    <hyperlink ref="F1601" r:id="rId1808" xr:uid="{00000000-0004-0000-0200-00000F070000}"/>
    <hyperlink ref="S1601" r:id="rId1809" xr:uid="{00000000-0004-0000-0200-000010070000}"/>
    <hyperlink ref="F1603" r:id="rId1810" xr:uid="{00000000-0004-0000-0200-000011070000}"/>
    <hyperlink ref="G1604" r:id="rId1811" xr:uid="{00000000-0004-0000-0200-000012070000}"/>
    <hyperlink ref="S1605" r:id="rId1812" xr:uid="{00000000-0004-0000-0200-000013070000}"/>
    <hyperlink ref="S1606" r:id="rId1813" xr:uid="{00000000-0004-0000-0200-000014070000}"/>
    <hyperlink ref="F1607" r:id="rId1814" xr:uid="{00000000-0004-0000-0200-000015070000}"/>
    <hyperlink ref="G1607" r:id="rId1815" xr:uid="{00000000-0004-0000-0200-000016070000}"/>
    <hyperlink ref="S1607" r:id="rId1816" xr:uid="{00000000-0004-0000-0200-000017070000}"/>
    <hyperlink ref="S1608" r:id="rId1817" xr:uid="{00000000-0004-0000-0200-000018070000}"/>
    <hyperlink ref="F1609" r:id="rId1818" xr:uid="{00000000-0004-0000-0200-000019070000}"/>
    <hyperlink ref="S1609" r:id="rId1819" xr:uid="{00000000-0004-0000-0200-00001A070000}"/>
    <hyperlink ref="F1611" r:id="rId1820" xr:uid="{00000000-0004-0000-0200-00001B070000}"/>
    <hyperlink ref="F1612" r:id="rId1821" xr:uid="{00000000-0004-0000-0200-00001C070000}"/>
    <hyperlink ref="F1613" r:id="rId1822" xr:uid="{00000000-0004-0000-0200-00001D070000}"/>
    <hyperlink ref="S1613" r:id="rId1823" xr:uid="{00000000-0004-0000-0200-00001E070000}"/>
    <hyperlink ref="C1614" r:id="rId1824" xr:uid="{00000000-0004-0000-0200-00001F070000}"/>
    <hyperlink ref="F1614" r:id="rId1825" xr:uid="{00000000-0004-0000-0200-000020070000}"/>
    <hyperlink ref="S1614" r:id="rId1826" xr:uid="{00000000-0004-0000-0200-000021070000}"/>
    <hyperlink ref="F1616" r:id="rId1827" xr:uid="{00000000-0004-0000-0200-000022070000}"/>
    <hyperlink ref="F1617" r:id="rId1828" location=".W_8BhW9HeyI.facebook" xr:uid="{00000000-0004-0000-0200-000023070000}"/>
    <hyperlink ref="R1617" r:id="rId1829" xr:uid="{00000000-0004-0000-0200-000024070000}"/>
    <hyperlink ref="S1617" r:id="rId1830" xr:uid="{00000000-0004-0000-0200-000025070000}"/>
    <hyperlink ref="F1620" r:id="rId1831" xr:uid="{00000000-0004-0000-0200-000026070000}"/>
    <hyperlink ref="F1621" r:id="rId1832" xr:uid="{00000000-0004-0000-0200-000027070000}"/>
    <hyperlink ref="F1623" r:id="rId1833" xr:uid="{00000000-0004-0000-0200-000028070000}"/>
    <hyperlink ref="G1623" r:id="rId1834" xr:uid="{00000000-0004-0000-0200-000029070000}"/>
    <hyperlink ref="F1624" r:id="rId1835" xr:uid="{00000000-0004-0000-0200-00002A070000}"/>
    <hyperlink ref="G1624" r:id="rId1836" xr:uid="{00000000-0004-0000-0200-00002B070000}"/>
    <hyperlink ref="S1624" r:id="rId1837" xr:uid="{00000000-0004-0000-0200-00002C070000}"/>
    <hyperlink ref="S1626" r:id="rId1838" xr:uid="{00000000-0004-0000-0200-00002D070000}"/>
    <hyperlink ref="F1627" r:id="rId1839" xr:uid="{00000000-0004-0000-0200-00002E070000}"/>
    <hyperlink ref="F1629" r:id="rId1840" xr:uid="{00000000-0004-0000-0200-00002F070000}"/>
    <hyperlink ref="S1629" r:id="rId1841" xr:uid="{00000000-0004-0000-0200-000030070000}"/>
    <hyperlink ref="F1630" r:id="rId1842" xr:uid="{00000000-0004-0000-0200-000031070000}"/>
    <hyperlink ref="G1630" r:id="rId1843" xr:uid="{00000000-0004-0000-0200-000032070000}"/>
    <hyperlink ref="F1631" r:id="rId1844" xr:uid="{00000000-0004-0000-0200-000033070000}"/>
    <hyperlink ref="F1632" r:id="rId1845" xr:uid="{00000000-0004-0000-0200-000034070000}"/>
    <hyperlink ref="G1633" r:id="rId1846" xr:uid="{00000000-0004-0000-0200-000035070000}"/>
    <hyperlink ref="S1633" r:id="rId1847" xr:uid="{00000000-0004-0000-0200-000036070000}"/>
    <hyperlink ref="F1634" r:id="rId1848" xr:uid="{00000000-0004-0000-0200-000037070000}"/>
    <hyperlink ref="G1635" r:id="rId1849" xr:uid="{00000000-0004-0000-0200-000038070000}"/>
    <hyperlink ref="F1636" r:id="rId1850" xr:uid="{00000000-0004-0000-0200-000039070000}"/>
    <hyperlink ref="G1636" r:id="rId1851" xr:uid="{00000000-0004-0000-0200-00003A070000}"/>
    <hyperlink ref="F1637" r:id="rId1852" xr:uid="{00000000-0004-0000-0200-00003B070000}"/>
    <hyperlink ref="F1638" r:id="rId1853" xr:uid="{00000000-0004-0000-0200-00003C070000}"/>
    <hyperlink ref="G1638" r:id="rId1854" xr:uid="{00000000-0004-0000-0200-00003D070000}"/>
    <hyperlink ref="F1640" r:id="rId1855" xr:uid="{00000000-0004-0000-0200-00003E070000}"/>
    <hyperlink ref="S1642" r:id="rId1856" xr:uid="{00000000-0004-0000-0200-00003F070000}"/>
    <hyperlink ref="F1643" r:id="rId1857" xr:uid="{00000000-0004-0000-0200-000040070000}"/>
    <hyperlink ref="F1645" r:id="rId1858" xr:uid="{00000000-0004-0000-0200-000041070000}"/>
    <hyperlink ref="F1646" r:id="rId1859" xr:uid="{00000000-0004-0000-0200-000042070000}"/>
    <hyperlink ref="F1649" r:id="rId1860" xr:uid="{00000000-0004-0000-0200-000043070000}"/>
    <hyperlink ref="G1649" r:id="rId1861" xr:uid="{00000000-0004-0000-0200-000044070000}"/>
    <hyperlink ref="G1651" r:id="rId1862" xr:uid="{00000000-0004-0000-0200-000045070000}"/>
    <hyperlink ref="S1651" r:id="rId1863" xr:uid="{00000000-0004-0000-0200-000046070000}"/>
    <hyperlink ref="F1652" r:id="rId1864" xr:uid="{00000000-0004-0000-0200-000047070000}"/>
    <hyperlink ref="F1653" r:id="rId1865" xr:uid="{00000000-0004-0000-0200-000048070000}"/>
    <hyperlink ref="S1653" r:id="rId1866" xr:uid="{00000000-0004-0000-0200-000049070000}"/>
    <hyperlink ref="F1654" r:id="rId1867" xr:uid="{00000000-0004-0000-0200-00004A070000}"/>
    <hyperlink ref="F1655" r:id="rId1868" xr:uid="{00000000-0004-0000-0200-00004B070000}"/>
    <hyperlink ref="F1657" r:id="rId1869" xr:uid="{00000000-0004-0000-0200-00004C070000}"/>
    <hyperlink ref="S1657" r:id="rId1870" xr:uid="{00000000-0004-0000-0200-00004D070000}"/>
    <hyperlink ref="F1658" r:id="rId1871" xr:uid="{00000000-0004-0000-0200-00004E070000}"/>
    <hyperlink ref="S1658" r:id="rId1872" xr:uid="{00000000-0004-0000-0200-00004F070000}"/>
    <hyperlink ref="F1659" r:id="rId1873" xr:uid="{00000000-0004-0000-0200-000050070000}"/>
    <hyperlink ref="F1661" r:id="rId1874" xr:uid="{00000000-0004-0000-0200-000051070000}"/>
    <hyperlink ref="F1662" r:id="rId1875" xr:uid="{00000000-0004-0000-0200-000052070000}"/>
    <hyperlink ref="G1662" r:id="rId1876" xr:uid="{00000000-0004-0000-0200-000053070000}"/>
    <hyperlink ref="F1665" r:id="rId1877" xr:uid="{00000000-0004-0000-0200-000054070000}"/>
    <hyperlink ref="F1666" r:id="rId1878" xr:uid="{00000000-0004-0000-0200-000055070000}"/>
    <hyperlink ref="F1667" r:id="rId1879" xr:uid="{00000000-0004-0000-0200-000056070000}"/>
    <hyperlink ref="F1670" r:id="rId1880" xr:uid="{00000000-0004-0000-0200-000057070000}"/>
    <hyperlink ref="G1671" r:id="rId1881" xr:uid="{00000000-0004-0000-0200-000058070000}"/>
    <hyperlink ref="S1671" r:id="rId1882" xr:uid="{00000000-0004-0000-0200-000059070000}"/>
    <hyperlink ref="S1672" r:id="rId1883" xr:uid="{00000000-0004-0000-0200-00005A070000}"/>
    <hyperlink ref="F1673" r:id="rId1884" xr:uid="{00000000-0004-0000-0200-00005B070000}"/>
    <hyperlink ref="S1674" r:id="rId1885" xr:uid="{00000000-0004-0000-0200-00005C070000}"/>
    <hyperlink ref="F1677" r:id="rId1886" xr:uid="{00000000-0004-0000-0200-00005D070000}"/>
    <hyperlink ref="S1677" r:id="rId1887" xr:uid="{00000000-0004-0000-0200-00005E070000}"/>
    <hyperlink ref="F1679" r:id="rId1888" xr:uid="{00000000-0004-0000-0200-00005F070000}"/>
    <hyperlink ref="G1680" r:id="rId1889" xr:uid="{00000000-0004-0000-0200-000060070000}"/>
    <hyperlink ref="F1681" r:id="rId1890" xr:uid="{00000000-0004-0000-0200-000061070000}"/>
    <hyperlink ref="G1681" r:id="rId1891" xr:uid="{00000000-0004-0000-0200-000062070000}"/>
    <hyperlink ref="G1682" r:id="rId1892" xr:uid="{00000000-0004-0000-0200-000063070000}"/>
    <hyperlink ref="F1683" r:id="rId1893" xr:uid="{00000000-0004-0000-0200-000064070000}"/>
    <hyperlink ref="F1684" r:id="rId1894" xr:uid="{00000000-0004-0000-0200-000065070000}"/>
    <hyperlink ref="G1685" r:id="rId1895" xr:uid="{00000000-0004-0000-0200-000066070000}"/>
    <hyperlink ref="S1685" r:id="rId1896" xr:uid="{00000000-0004-0000-0200-000067070000}"/>
    <hyperlink ref="G1686" r:id="rId1897" xr:uid="{00000000-0004-0000-0200-000068070000}"/>
    <hyperlink ref="S1686" r:id="rId1898" xr:uid="{00000000-0004-0000-0200-000069070000}"/>
    <hyperlink ref="F1688" r:id="rId1899" xr:uid="{00000000-0004-0000-0200-00006A070000}"/>
    <hyperlink ref="G1689" r:id="rId1900" xr:uid="{00000000-0004-0000-0200-00006B070000}"/>
    <hyperlink ref="F1690" r:id="rId1901" xr:uid="{00000000-0004-0000-0200-00006C070000}"/>
    <hyperlink ref="G1691" r:id="rId1902" xr:uid="{00000000-0004-0000-0200-00006D070000}"/>
    <hyperlink ref="F1692" r:id="rId1903" xr:uid="{00000000-0004-0000-0200-00006E070000}"/>
    <hyperlink ref="G1692" r:id="rId1904" xr:uid="{00000000-0004-0000-0200-00006F070000}"/>
    <hyperlink ref="F1693" r:id="rId1905" xr:uid="{00000000-0004-0000-0200-000070070000}"/>
    <hyperlink ref="F1694" r:id="rId1906" location=".XAoilIR0h7w.twitter" xr:uid="{00000000-0004-0000-0200-000071070000}"/>
    <hyperlink ref="G1695" r:id="rId1907" xr:uid="{00000000-0004-0000-0200-000072070000}"/>
    <hyperlink ref="F1696" r:id="rId1908" xr:uid="{00000000-0004-0000-0200-000073070000}"/>
    <hyperlink ref="G1697" r:id="rId1909" xr:uid="{00000000-0004-0000-0200-000074070000}"/>
    <hyperlink ref="S1697" r:id="rId1910" xr:uid="{00000000-0004-0000-0200-000075070000}"/>
    <hyperlink ref="G1698" r:id="rId1911" xr:uid="{00000000-0004-0000-0200-000076070000}"/>
    <hyperlink ref="S1698" r:id="rId1912" xr:uid="{00000000-0004-0000-0200-000077070000}"/>
    <hyperlink ref="F1700" r:id="rId1913" xr:uid="{00000000-0004-0000-0200-000078070000}"/>
    <hyperlink ref="G1702" r:id="rId1914" xr:uid="{00000000-0004-0000-0200-000079070000}"/>
    <hyperlink ref="G1703" r:id="rId1915" xr:uid="{00000000-0004-0000-0200-00007A070000}"/>
    <hyperlink ref="F1704" r:id="rId1916" xr:uid="{00000000-0004-0000-0200-00007B070000}"/>
    <hyperlink ref="S1704" r:id="rId1917" xr:uid="{00000000-0004-0000-0200-00007C070000}"/>
    <hyperlink ref="F1705" r:id="rId1918" xr:uid="{00000000-0004-0000-0200-00007D070000}"/>
    <hyperlink ref="S1705" r:id="rId1919" xr:uid="{00000000-0004-0000-0200-00007E070000}"/>
    <hyperlink ref="F1707" r:id="rId1920" xr:uid="{00000000-0004-0000-0200-00007F070000}"/>
    <hyperlink ref="S1707" r:id="rId1921" xr:uid="{00000000-0004-0000-0200-000080070000}"/>
    <hyperlink ref="F1709" r:id="rId1922" xr:uid="{00000000-0004-0000-0200-000081070000}"/>
    <hyperlink ref="F1710" r:id="rId1923" xr:uid="{00000000-0004-0000-0200-000082070000}"/>
    <hyperlink ref="F1711" r:id="rId1924" xr:uid="{00000000-0004-0000-0200-000083070000}"/>
    <hyperlink ref="F1712" r:id="rId1925" location=".XAoeEJwZ5no.twitter" xr:uid="{00000000-0004-0000-0200-000084070000}"/>
    <hyperlink ref="F1713" r:id="rId1926" xr:uid="{00000000-0004-0000-0200-000085070000}"/>
    <hyperlink ref="F1715" r:id="rId1927" xr:uid="{00000000-0004-0000-0200-000086070000}"/>
    <hyperlink ref="G1715" r:id="rId1928" xr:uid="{00000000-0004-0000-0200-000087070000}"/>
    <hyperlink ref="F1716" r:id="rId1929" xr:uid="{00000000-0004-0000-0200-000088070000}"/>
    <hyperlink ref="F1717" r:id="rId1930" xr:uid="{00000000-0004-0000-0200-000089070000}"/>
    <hyperlink ref="F1718" r:id="rId1931" xr:uid="{00000000-0004-0000-0200-00008A070000}"/>
    <hyperlink ref="F1719" r:id="rId1932" xr:uid="{00000000-0004-0000-0200-00008B070000}"/>
    <hyperlink ref="G1719" r:id="rId1933" xr:uid="{00000000-0004-0000-0200-00008C070000}"/>
    <hyperlink ref="S1719" r:id="rId1934" xr:uid="{00000000-0004-0000-0200-00008D070000}"/>
    <hyperlink ref="F1721" r:id="rId1935" xr:uid="{00000000-0004-0000-0200-00008E070000}"/>
    <hyperlink ref="F1723" r:id="rId1936" xr:uid="{00000000-0004-0000-0200-00008F070000}"/>
    <hyperlink ref="F1724" r:id="rId1937" xr:uid="{00000000-0004-0000-0200-000090070000}"/>
    <hyperlink ref="S1724" r:id="rId1938" xr:uid="{00000000-0004-0000-0200-000091070000}"/>
    <hyperlink ref="G1725" r:id="rId1939" xr:uid="{00000000-0004-0000-0200-000092070000}"/>
    <hyperlink ref="F1726" r:id="rId1940" xr:uid="{00000000-0004-0000-0200-000093070000}"/>
    <hyperlink ref="F1727" r:id="rId1941" xr:uid="{00000000-0004-0000-0200-000094070000}"/>
    <hyperlink ref="G1727" r:id="rId1942" xr:uid="{00000000-0004-0000-0200-000095070000}"/>
    <hyperlink ref="G1728" r:id="rId1943" xr:uid="{00000000-0004-0000-0200-000096070000}"/>
    <hyperlink ref="G1729" r:id="rId1944" xr:uid="{00000000-0004-0000-0200-000097070000}"/>
    <hyperlink ref="F1730" r:id="rId1945" xr:uid="{00000000-0004-0000-0200-000098070000}"/>
    <hyperlink ref="S1730" r:id="rId1946" xr:uid="{00000000-0004-0000-0200-000099070000}"/>
    <hyperlink ref="G1731" r:id="rId1947" xr:uid="{00000000-0004-0000-0200-00009A070000}"/>
    <hyperlink ref="F1732" r:id="rId1948" xr:uid="{00000000-0004-0000-0200-00009B070000}"/>
    <hyperlink ref="G1735" r:id="rId1949" xr:uid="{00000000-0004-0000-0200-00009C070000}"/>
    <hyperlink ref="F1738" r:id="rId1950" xr:uid="{00000000-0004-0000-0200-00009D070000}"/>
    <hyperlink ref="S1738" r:id="rId1951" xr:uid="{00000000-0004-0000-0200-00009E070000}"/>
    <hyperlink ref="F1739" r:id="rId1952" xr:uid="{00000000-0004-0000-0200-00009F070000}"/>
    <hyperlink ref="F1741" r:id="rId1953" xr:uid="{00000000-0004-0000-0200-0000A0070000}"/>
    <hyperlink ref="S1741" r:id="rId1954" xr:uid="{00000000-0004-0000-0200-0000A1070000}"/>
    <hyperlink ref="F1742" r:id="rId1955" xr:uid="{00000000-0004-0000-0200-0000A2070000}"/>
    <hyperlink ref="F1743" r:id="rId1956" xr:uid="{00000000-0004-0000-0200-0000A3070000}"/>
    <hyperlink ref="S1743" r:id="rId1957" xr:uid="{00000000-0004-0000-0200-0000A4070000}"/>
    <hyperlink ref="F1745" r:id="rId1958" xr:uid="{00000000-0004-0000-0200-0000A5070000}"/>
    <hyperlink ref="F1746" r:id="rId1959" xr:uid="{00000000-0004-0000-0200-0000A6070000}"/>
    <hyperlink ref="F1747" r:id="rId1960" xr:uid="{00000000-0004-0000-0200-0000A7070000}"/>
    <hyperlink ref="S1747" r:id="rId1961" xr:uid="{00000000-0004-0000-0200-0000A8070000}"/>
    <hyperlink ref="F1748" r:id="rId1962" xr:uid="{00000000-0004-0000-0200-0000A9070000}"/>
    <hyperlink ref="F1750" r:id="rId1963" location=".XAoKwMusoyw.twitter" xr:uid="{00000000-0004-0000-0200-0000AA070000}"/>
    <hyperlink ref="S1750" r:id="rId1964" xr:uid="{00000000-0004-0000-0200-0000AB070000}"/>
    <hyperlink ref="F1751" r:id="rId1965" xr:uid="{00000000-0004-0000-0200-0000AC070000}"/>
    <hyperlink ref="F1752" r:id="rId1966" xr:uid="{00000000-0004-0000-0200-0000AD070000}"/>
    <hyperlink ref="F1753" r:id="rId1967" xr:uid="{00000000-0004-0000-0200-0000AE070000}"/>
    <hyperlink ref="F1754" r:id="rId1968" xr:uid="{00000000-0004-0000-0200-0000AF070000}"/>
    <hyperlink ref="F1756" r:id="rId1969" location=".XAoGVK5Rv_o.twitter" xr:uid="{00000000-0004-0000-0200-0000B0070000}"/>
    <hyperlink ref="F1757" r:id="rId1970" xr:uid="{00000000-0004-0000-0200-0000B1070000}"/>
    <hyperlink ref="G1757" r:id="rId1971" xr:uid="{00000000-0004-0000-0200-0000B2070000}"/>
    <hyperlink ref="F1761" r:id="rId1972" xr:uid="{00000000-0004-0000-0200-0000B3070000}"/>
    <hyperlink ref="G1762" r:id="rId1973" xr:uid="{00000000-0004-0000-0200-0000B4070000}"/>
    <hyperlink ref="F1763" r:id="rId1974" xr:uid="{00000000-0004-0000-0200-0000B5070000}"/>
    <hyperlink ref="F1764" r:id="rId1975" xr:uid="{00000000-0004-0000-0200-0000B6070000}"/>
    <hyperlink ref="G1764" r:id="rId1976" xr:uid="{00000000-0004-0000-0200-0000B7070000}"/>
    <hyperlink ref="F1765" r:id="rId1977" xr:uid="{00000000-0004-0000-0200-0000B8070000}"/>
    <hyperlink ref="S1765" r:id="rId1978" xr:uid="{00000000-0004-0000-0200-0000B9070000}"/>
    <hyperlink ref="F1767" r:id="rId1979" xr:uid="{00000000-0004-0000-0200-0000BA070000}"/>
    <hyperlink ref="F1768" r:id="rId1980" xr:uid="{00000000-0004-0000-0200-0000BB070000}"/>
    <hyperlink ref="S1768" r:id="rId1981" xr:uid="{00000000-0004-0000-0200-0000BC070000}"/>
    <hyperlink ref="F1770" r:id="rId1982" xr:uid="{00000000-0004-0000-0200-0000BD070000}"/>
    <hyperlink ref="G1770" r:id="rId1983" xr:uid="{00000000-0004-0000-0200-0000BE070000}"/>
    <hyperlink ref="F1771" r:id="rId1984" xr:uid="{00000000-0004-0000-0200-0000BF070000}"/>
    <hyperlink ref="F1772" r:id="rId1985" xr:uid="{00000000-0004-0000-0200-0000C0070000}"/>
    <hyperlink ref="G1773" r:id="rId1986" xr:uid="{00000000-0004-0000-0200-0000C1070000}"/>
    <hyperlink ref="F1774" r:id="rId1987" xr:uid="{00000000-0004-0000-0200-0000C2070000}"/>
    <hyperlink ref="G1774" r:id="rId1988" xr:uid="{00000000-0004-0000-0200-0000C3070000}"/>
    <hyperlink ref="S1774" r:id="rId1989" xr:uid="{00000000-0004-0000-0200-0000C4070000}"/>
    <hyperlink ref="F1775" r:id="rId1990" xr:uid="{00000000-0004-0000-0200-0000C5070000}"/>
    <hyperlink ref="G1775" r:id="rId1991" xr:uid="{00000000-0004-0000-0200-0000C6070000}"/>
    <hyperlink ref="S1775" r:id="rId1992" xr:uid="{00000000-0004-0000-0200-0000C7070000}"/>
    <hyperlink ref="S1776" r:id="rId1993" xr:uid="{00000000-0004-0000-0200-0000C8070000}"/>
    <hyperlink ref="F1777" r:id="rId1994" xr:uid="{00000000-0004-0000-0200-0000C9070000}"/>
    <hyperlink ref="F1778" r:id="rId1995" xr:uid="{00000000-0004-0000-0200-0000CA070000}"/>
    <hyperlink ref="G1778" r:id="rId1996" xr:uid="{00000000-0004-0000-0200-0000CB070000}"/>
    <hyperlink ref="S1778" r:id="rId1997" xr:uid="{00000000-0004-0000-0200-0000CC070000}"/>
    <hyperlink ref="F1779" r:id="rId1998" xr:uid="{00000000-0004-0000-0200-0000CD070000}"/>
    <hyperlink ref="G1779" r:id="rId1999" xr:uid="{00000000-0004-0000-0200-0000CE070000}"/>
    <hyperlink ref="S1779" r:id="rId2000" xr:uid="{00000000-0004-0000-0200-0000CF070000}"/>
    <hyperlink ref="F1780" r:id="rId2001" xr:uid="{00000000-0004-0000-0200-0000D0070000}"/>
    <hyperlink ref="S1780" r:id="rId2002" location="abelfranc/about" xr:uid="{00000000-0004-0000-0200-0000D1070000}"/>
    <hyperlink ref="F1781" r:id="rId2003" xr:uid="{00000000-0004-0000-0200-0000D2070000}"/>
    <hyperlink ref="F1782" r:id="rId2004" xr:uid="{00000000-0004-0000-0200-0000D3070000}"/>
    <hyperlink ref="G1783" r:id="rId2005" xr:uid="{00000000-0004-0000-0200-0000D4070000}"/>
    <hyperlink ref="S1783" r:id="rId2006" xr:uid="{00000000-0004-0000-0200-0000D5070000}"/>
    <hyperlink ref="S1784" r:id="rId2007" xr:uid="{00000000-0004-0000-0200-0000D6070000}"/>
    <hyperlink ref="F1786" r:id="rId2008" xr:uid="{00000000-0004-0000-0200-0000D7070000}"/>
    <hyperlink ref="G1786" r:id="rId2009" xr:uid="{00000000-0004-0000-0200-0000D8070000}"/>
    <hyperlink ref="S1786" r:id="rId2010" xr:uid="{00000000-0004-0000-0200-0000D9070000}"/>
    <hyperlink ref="F1787" r:id="rId2011" xr:uid="{00000000-0004-0000-0200-0000DA070000}"/>
    <hyperlink ref="F1788" r:id="rId2012" xr:uid="{00000000-0004-0000-0200-0000DB070000}"/>
    <hyperlink ref="S1788" r:id="rId2013" xr:uid="{00000000-0004-0000-0200-0000DC070000}"/>
    <hyperlink ref="F1789" r:id="rId2014" xr:uid="{00000000-0004-0000-0200-0000DD070000}"/>
    <hyperlink ref="S1790" r:id="rId2015" xr:uid="{00000000-0004-0000-0200-0000DE070000}"/>
    <hyperlink ref="G1791" r:id="rId2016" xr:uid="{00000000-0004-0000-0200-0000DF070000}"/>
    <hyperlink ref="S1791" r:id="rId2017" xr:uid="{00000000-0004-0000-0200-0000E0070000}"/>
    <hyperlink ref="F1792" r:id="rId2018" xr:uid="{00000000-0004-0000-0200-0000E1070000}"/>
    <hyperlink ref="F1793" r:id="rId2019" xr:uid="{00000000-0004-0000-0200-0000E2070000}"/>
    <hyperlink ref="G1793" r:id="rId2020" xr:uid="{00000000-0004-0000-0200-0000E3070000}"/>
    <hyperlink ref="S1794" r:id="rId2021" location="abelfranc/about" xr:uid="{00000000-0004-0000-0200-0000E4070000}"/>
    <hyperlink ref="F1795" r:id="rId2022" location=".XAnL10wpUs9.twitter" xr:uid="{00000000-0004-0000-0200-0000E5070000}"/>
    <hyperlink ref="F1796" r:id="rId2023" location=".XAnLG4DnEyY.twitter" xr:uid="{00000000-0004-0000-0200-0000E6070000}"/>
    <hyperlink ref="F1799" r:id="rId2024" xr:uid="{00000000-0004-0000-0200-0000E7070000}"/>
    <hyperlink ref="S1799" r:id="rId2025" xr:uid="{00000000-0004-0000-0200-0000E8070000}"/>
    <hyperlink ref="F1801" r:id="rId2026" xr:uid="{00000000-0004-0000-0200-0000E9070000}"/>
    <hyperlink ref="G1801" r:id="rId2027" xr:uid="{00000000-0004-0000-0200-0000EA070000}"/>
    <hyperlink ref="S1801" r:id="rId2028" xr:uid="{00000000-0004-0000-0200-0000EB070000}"/>
    <hyperlink ref="G1802" r:id="rId2029" xr:uid="{00000000-0004-0000-0200-0000EC070000}"/>
    <hyperlink ref="F1804" r:id="rId2030" xr:uid="{00000000-0004-0000-0200-0000ED070000}"/>
    <hyperlink ref="G1804" r:id="rId2031" xr:uid="{00000000-0004-0000-0200-0000EE070000}"/>
    <hyperlink ref="S1804" r:id="rId2032" xr:uid="{00000000-0004-0000-0200-0000EF070000}"/>
    <hyperlink ref="F1805" r:id="rId2033" xr:uid="{00000000-0004-0000-0200-0000F0070000}"/>
    <hyperlink ref="G1805" r:id="rId2034" xr:uid="{00000000-0004-0000-0200-0000F1070000}"/>
    <hyperlink ref="S1805" r:id="rId2035" xr:uid="{00000000-0004-0000-0200-0000F2070000}"/>
    <hyperlink ref="F1806" r:id="rId2036" xr:uid="{00000000-0004-0000-0200-0000F3070000}"/>
    <hyperlink ref="F1807" r:id="rId2037" xr:uid="{00000000-0004-0000-0200-0000F4070000}"/>
    <hyperlink ref="S1807" r:id="rId2038" xr:uid="{00000000-0004-0000-0200-0000F5070000}"/>
    <hyperlink ref="F1809" r:id="rId2039" xr:uid="{00000000-0004-0000-0200-0000F6070000}"/>
    <hyperlink ref="F1810" r:id="rId2040" xr:uid="{00000000-0004-0000-0200-0000F7070000}"/>
    <hyperlink ref="G1810" r:id="rId2041" xr:uid="{00000000-0004-0000-0200-0000F8070000}"/>
    <hyperlink ref="F1811" r:id="rId2042" xr:uid="{00000000-0004-0000-0200-0000F9070000}"/>
    <hyperlink ref="F1812" r:id="rId2043" xr:uid="{00000000-0004-0000-0200-0000FA070000}"/>
    <hyperlink ref="G1814" r:id="rId2044" xr:uid="{00000000-0004-0000-0200-0000FB070000}"/>
    <hyperlink ref="S1814" r:id="rId2045" xr:uid="{00000000-0004-0000-0200-0000FC070000}"/>
    <hyperlink ref="F1817" r:id="rId2046" xr:uid="{00000000-0004-0000-0200-0000FD070000}"/>
    <hyperlink ref="S1817" r:id="rId2047" xr:uid="{00000000-0004-0000-0200-0000FE070000}"/>
    <hyperlink ref="G1818" r:id="rId2048" xr:uid="{00000000-0004-0000-0200-0000FF070000}"/>
    <hyperlink ref="F1819" r:id="rId2049" xr:uid="{00000000-0004-0000-0200-000000080000}"/>
    <hyperlink ref="S1819" r:id="rId2050" xr:uid="{00000000-0004-0000-0200-000001080000}"/>
    <hyperlink ref="F1820" r:id="rId2051" xr:uid="{00000000-0004-0000-0200-000002080000}"/>
    <hyperlink ref="F1821" r:id="rId2052" xr:uid="{00000000-0004-0000-0200-000003080000}"/>
    <hyperlink ref="F1822" r:id="rId2053" xr:uid="{00000000-0004-0000-0200-000004080000}"/>
    <hyperlink ref="G1822" r:id="rId2054" xr:uid="{00000000-0004-0000-0200-000005080000}"/>
    <hyperlink ref="F1823" r:id="rId2055" xr:uid="{00000000-0004-0000-0200-000006080000}"/>
    <hyperlink ref="G1824" r:id="rId2056" xr:uid="{00000000-0004-0000-0200-000007080000}"/>
    <hyperlink ref="F1825" r:id="rId2057" xr:uid="{00000000-0004-0000-0200-000008080000}"/>
    <hyperlink ref="S1825" r:id="rId2058" xr:uid="{00000000-0004-0000-0200-000009080000}"/>
    <hyperlink ref="F1826" r:id="rId2059" xr:uid="{00000000-0004-0000-0200-00000A080000}"/>
    <hyperlink ref="G1826" r:id="rId2060" xr:uid="{00000000-0004-0000-0200-00000B080000}"/>
    <hyperlink ref="S1826" r:id="rId2061" xr:uid="{00000000-0004-0000-0200-00000C080000}"/>
    <hyperlink ref="F1827" r:id="rId2062" xr:uid="{00000000-0004-0000-0200-00000D080000}"/>
    <hyperlink ref="F1828" r:id="rId2063" xr:uid="{00000000-0004-0000-0200-00000E080000}"/>
    <hyperlink ref="G1828" r:id="rId2064" xr:uid="{00000000-0004-0000-0200-00000F080000}"/>
    <hyperlink ref="G1829" r:id="rId2065" xr:uid="{00000000-0004-0000-0200-000010080000}"/>
    <hyperlink ref="S1830" r:id="rId2066" xr:uid="{00000000-0004-0000-0200-000011080000}"/>
    <hyperlink ref="F1832" r:id="rId2067" xr:uid="{00000000-0004-0000-0200-000012080000}"/>
    <hyperlink ref="C1835" r:id="rId2068" xr:uid="{00000000-0004-0000-0200-000013080000}"/>
    <hyperlink ref="F1835" r:id="rId2069" xr:uid="{00000000-0004-0000-0200-000014080000}"/>
    <hyperlink ref="G1835" r:id="rId2070" xr:uid="{00000000-0004-0000-0200-000015080000}"/>
    <hyperlink ref="S1835" r:id="rId2071" xr:uid="{00000000-0004-0000-0200-000016080000}"/>
    <hyperlink ref="F1836" r:id="rId2072" xr:uid="{00000000-0004-0000-0200-000017080000}"/>
    <hyperlink ref="F1839" r:id="rId2073" xr:uid="{00000000-0004-0000-0200-000018080000}"/>
    <hyperlink ref="G1839" r:id="rId2074" xr:uid="{00000000-0004-0000-0200-000019080000}"/>
    <hyperlink ref="S1839" r:id="rId2075" xr:uid="{00000000-0004-0000-0200-00001A080000}"/>
    <hyperlink ref="F1840" r:id="rId2076" xr:uid="{00000000-0004-0000-0200-00001B080000}"/>
    <hyperlink ref="S1841" r:id="rId2077" xr:uid="{00000000-0004-0000-0200-00001C080000}"/>
    <hyperlink ref="F1842" r:id="rId2078" xr:uid="{00000000-0004-0000-0200-00001D080000}"/>
    <hyperlink ref="S1842" r:id="rId2079" xr:uid="{00000000-0004-0000-0200-00001E080000}"/>
    <hyperlink ref="F1843" r:id="rId2080" xr:uid="{00000000-0004-0000-0200-00001F080000}"/>
    <hyperlink ref="G1843" r:id="rId2081" xr:uid="{00000000-0004-0000-0200-000020080000}"/>
    <hyperlink ref="F1846" r:id="rId2082" xr:uid="{00000000-0004-0000-0200-000021080000}"/>
    <hyperlink ref="F1847" r:id="rId2083" xr:uid="{00000000-0004-0000-0200-000022080000}"/>
    <hyperlink ref="G1848" r:id="rId2084" xr:uid="{00000000-0004-0000-0200-000023080000}"/>
    <hyperlink ref="S1848" r:id="rId2085" xr:uid="{00000000-0004-0000-0200-000024080000}"/>
    <hyperlink ref="F1849" r:id="rId2086" xr:uid="{00000000-0004-0000-0200-000025080000}"/>
    <hyperlink ref="G1849" r:id="rId2087" xr:uid="{00000000-0004-0000-0200-000026080000}"/>
    <hyperlink ref="S1849" r:id="rId2088" xr:uid="{00000000-0004-0000-0200-000027080000}"/>
    <hyperlink ref="F1850" r:id="rId2089" xr:uid="{00000000-0004-0000-0200-000028080000}"/>
    <hyperlink ref="G1850" r:id="rId2090" xr:uid="{00000000-0004-0000-0200-000029080000}"/>
    <hyperlink ref="F1851" r:id="rId2091" xr:uid="{00000000-0004-0000-0200-00002A080000}"/>
    <hyperlink ref="G1851" r:id="rId2092" xr:uid="{00000000-0004-0000-0200-00002B080000}"/>
    <hyperlink ref="F1852" r:id="rId2093" xr:uid="{00000000-0004-0000-0200-00002C080000}"/>
    <hyperlink ref="G1853" r:id="rId2094" xr:uid="{00000000-0004-0000-0200-00002D080000}"/>
    <hyperlink ref="S1853" r:id="rId2095" xr:uid="{00000000-0004-0000-0200-00002E080000}"/>
    <hyperlink ref="F1854" r:id="rId2096" xr:uid="{00000000-0004-0000-0200-00002F080000}"/>
    <hyperlink ref="F1855" r:id="rId2097" xr:uid="{00000000-0004-0000-0200-000030080000}"/>
    <hyperlink ref="S1855" r:id="rId2098" xr:uid="{00000000-0004-0000-0200-000031080000}"/>
    <hyperlink ref="F1856" r:id="rId2099" xr:uid="{00000000-0004-0000-0200-000032080000}"/>
    <hyperlink ref="F1857" r:id="rId2100" xr:uid="{00000000-0004-0000-0200-000033080000}"/>
    <hyperlink ref="G1857" r:id="rId2101" xr:uid="{00000000-0004-0000-0200-000034080000}"/>
    <hyperlink ref="G1858" r:id="rId2102" xr:uid="{00000000-0004-0000-0200-000035080000}"/>
    <hyperlink ref="F1859" r:id="rId2103" xr:uid="{00000000-0004-0000-0200-000036080000}"/>
    <hyperlink ref="F1860" r:id="rId2104" xr:uid="{00000000-0004-0000-0200-000037080000}"/>
    <hyperlink ref="G1860" r:id="rId2105" xr:uid="{00000000-0004-0000-0200-000038080000}"/>
    <hyperlink ref="S1862" r:id="rId2106" xr:uid="{00000000-0004-0000-0200-000039080000}"/>
    <hyperlink ref="F1863" r:id="rId2107" xr:uid="{00000000-0004-0000-0200-00003A080000}"/>
    <hyperlink ref="F1864" r:id="rId2108" xr:uid="{00000000-0004-0000-0200-00003B080000}"/>
    <hyperlink ref="F1867" r:id="rId2109" xr:uid="{00000000-0004-0000-0200-00003C080000}"/>
    <hyperlink ref="G1867" r:id="rId2110" xr:uid="{00000000-0004-0000-0200-00003D080000}"/>
    <hyperlink ref="G1868" r:id="rId2111" xr:uid="{00000000-0004-0000-0200-00003E080000}"/>
    <hyperlink ref="F1869" r:id="rId2112" xr:uid="{00000000-0004-0000-0200-00003F080000}"/>
    <hyperlink ref="F1870" r:id="rId2113" xr:uid="{00000000-0004-0000-0200-000040080000}"/>
    <hyperlink ref="G1870" r:id="rId2114" xr:uid="{00000000-0004-0000-0200-000041080000}"/>
    <hyperlink ref="F1871" r:id="rId2115" xr:uid="{00000000-0004-0000-0200-000042080000}"/>
    <hyperlink ref="F1872" r:id="rId2116" xr:uid="{00000000-0004-0000-0200-000043080000}"/>
    <hyperlink ref="G1872" r:id="rId2117" xr:uid="{00000000-0004-0000-0200-000044080000}"/>
    <hyperlink ref="F1873" r:id="rId2118" xr:uid="{00000000-0004-0000-0200-000045080000}"/>
    <hyperlink ref="G1873" r:id="rId2119" xr:uid="{00000000-0004-0000-0200-000046080000}"/>
    <hyperlink ref="S1873" r:id="rId2120" xr:uid="{00000000-0004-0000-0200-000047080000}"/>
    <hyperlink ref="G1874" r:id="rId2121" xr:uid="{00000000-0004-0000-0200-000048080000}"/>
    <hyperlink ref="F1875" r:id="rId2122" xr:uid="{00000000-0004-0000-0200-000049080000}"/>
    <hyperlink ref="F1877" r:id="rId2123" xr:uid="{00000000-0004-0000-0200-00004A080000}"/>
    <hyperlink ref="F1878" r:id="rId2124" xr:uid="{00000000-0004-0000-0200-00004B080000}"/>
    <hyperlink ref="F1879" r:id="rId2125" xr:uid="{00000000-0004-0000-0200-00004C080000}"/>
    <hyperlink ref="G1879" r:id="rId2126" xr:uid="{00000000-0004-0000-0200-00004D080000}"/>
    <hyperlink ref="F1881" r:id="rId2127" xr:uid="{00000000-0004-0000-0200-00004E080000}"/>
    <hyperlink ref="G1881" r:id="rId2128" xr:uid="{00000000-0004-0000-0200-00004F080000}"/>
    <hyperlink ref="F1883" r:id="rId2129" xr:uid="{00000000-0004-0000-0200-000050080000}"/>
    <hyperlink ref="G1884" r:id="rId2130" xr:uid="{00000000-0004-0000-0200-000051080000}"/>
    <hyperlink ref="S1884" r:id="rId2131" xr:uid="{00000000-0004-0000-0200-000052080000}"/>
    <hyperlink ref="F1885" r:id="rId2132" xr:uid="{00000000-0004-0000-0200-000053080000}"/>
    <hyperlink ref="F1886" r:id="rId2133" xr:uid="{00000000-0004-0000-0200-000054080000}"/>
    <hyperlink ref="F1887" r:id="rId2134" xr:uid="{00000000-0004-0000-0200-000055080000}"/>
    <hyperlink ref="F1888" r:id="rId2135" xr:uid="{00000000-0004-0000-0200-000056080000}"/>
    <hyperlink ref="S1888" r:id="rId2136" xr:uid="{00000000-0004-0000-0200-000057080000}"/>
    <hyperlink ref="F1889" r:id="rId2137" xr:uid="{00000000-0004-0000-0200-000058080000}"/>
    <hyperlink ref="F1890" r:id="rId2138" location=".XAmqegWLRSk.twitter" xr:uid="{00000000-0004-0000-0200-000059080000}"/>
    <hyperlink ref="S1890" r:id="rId2139" xr:uid="{00000000-0004-0000-0200-00005A080000}"/>
    <hyperlink ref="C1891" r:id="rId2140" xr:uid="{00000000-0004-0000-0200-00005B080000}"/>
    <hyperlink ref="F1891" r:id="rId2141" xr:uid="{00000000-0004-0000-0200-00005C080000}"/>
    <hyperlink ref="S1891" r:id="rId2142" xr:uid="{00000000-0004-0000-0200-00005D080000}"/>
    <hyperlink ref="G1892" r:id="rId2143" xr:uid="{00000000-0004-0000-0200-00005E080000}"/>
    <hyperlink ref="S1892" r:id="rId2144" xr:uid="{00000000-0004-0000-0200-00005F080000}"/>
    <hyperlink ref="F1893" r:id="rId2145" xr:uid="{00000000-0004-0000-0200-000060080000}"/>
    <hyperlink ref="G1893" r:id="rId2146" xr:uid="{00000000-0004-0000-0200-000061080000}"/>
    <hyperlink ref="F1894" r:id="rId2147" xr:uid="{00000000-0004-0000-0200-000062080000}"/>
    <hyperlink ref="F1895" r:id="rId2148" xr:uid="{00000000-0004-0000-0200-000063080000}"/>
    <hyperlink ref="F1896" r:id="rId2149" xr:uid="{00000000-0004-0000-0200-000064080000}"/>
    <hyperlink ref="G1896" r:id="rId2150" xr:uid="{00000000-0004-0000-0200-000065080000}"/>
    <hyperlink ref="F1897" r:id="rId2151" xr:uid="{00000000-0004-0000-0200-000066080000}"/>
    <hyperlink ref="G1898" r:id="rId2152" xr:uid="{00000000-0004-0000-0200-000067080000}"/>
    <hyperlink ref="F1899" r:id="rId2153" xr:uid="{00000000-0004-0000-0200-000068080000}"/>
    <hyperlink ref="F1902" r:id="rId2154" xr:uid="{00000000-0004-0000-0200-000069080000}"/>
    <hyperlink ref="G1902" r:id="rId2155" xr:uid="{00000000-0004-0000-0200-00006A080000}"/>
    <hyperlink ref="F1904" r:id="rId2156" xr:uid="{00000000-0004-0000-0200-00006B080000}"/>
    <hyperlink ref="S1904" r:id="rId2157" xr:uid="{00000000-0004-0000-0200-00006C080000}"/>
    <hyperlink ref="G1905" r:id="rId2158" xr:uid="{00000000-0004-0000-0200-00006D080000}"/>
    <hyperlink ref="F1907" r:id="rId2159" xr:uid="{00000000-0004-0000-0200-00006E080000}"/>
    <hyperlink ref="S1907" r:id="rId2160" xr:uid="{00000000-0004-0000-0200-00006F080000}"/>
    <hyperlink ref="F1909" r:id="rId2161" location=".XAmnEPkpP1Q.twitter" xr:uid="{00000000-0004-0000-0200-000070080000}"/>
    <hyperlink ref="F1911" r:id="rId2162" xr:uid="{00000000-0004-0000-0200-000071080000}"/>
    <hyperlink ref="F1912" r:id="rId2163" xr:uid="{00000000-0004-0000-0200-000072080000}"/>
    <hyperlink ref="S1912" r:id="rId2164" xr:uid="{00000000-0004-0000-0200-000073080000}"/>
    <hyperlink ref="G1913" r:id="rId2165" xr:uid="{00000000-0004-0000-0200-000074080000}"/>
    <hyperlink ref="S1913" r:id="rId2166" xr:uid="{00000000-0004-0000-0200-000075080000}"/>
    <hyperlink ref="F1914" r:id="rId2167" location=".XAmmRbbBx5w.twitter" xr:uid="{00000000-0004-0000-0200-000076080000}"/>
    <hyperlink ref="F1915" r:id="rId2168" xr:uid="{00000000-0004-0000-0200-000077080000}"/>
    <hyperlink ref="F1916" r:id="rId2169" xr:uid="{00000000-0004-0000-0200-000078080000}"/>
    <hyperlink ref="F1917" r:id="rId2170" xr:uid="{00000000-0004-0000-0200-000079080000}"/>
    <hyperlink ref="G1918" r:id="rId2171" xr:uid="{00000000-0004-0000-0200-00007A080000}"/>
    <hyperlink ref="F1920" r:id="rId2172" location="ns_campaign=rrss-inducido&amp;ns_mchannel=abc-es&amp;ns_source=tw&amp;ns_linkname=noticia-video&amp;ns_fee=0" xr:uid="{00000000-0004-0000-0200-00007B080000}"/>
    <hyperlink ref="F1921" r:id="rId2173" xr:uid="{00000000-0004-0000-0200-00007C080000}"/>
    <hyperlink ref="F1922" r:id="rId2174" xr:uid="{00000000-0004-0000-0200-00007D080000}"/>
    <hyperlink ref="F1924" r:id="rId2175" xr:uid="{00000000-0004-0000-0200-00007E080000}"/>
    <hyperlink ref="F1925" r:id="rId2176" xr:uid="{00000000-0004-0000-0200-00007F080000}"/>
    <hyperlink ref="F1926" r:id="rId2177" xr:uid="{00000000-0004-0000-0200-000080080000}"/>
    <hyperlink ref="S1926" r:id="rId2178" xr:uid="{00000000-0004-0000-0200-000081080000}"/>
    <hyperlink ref="F1927" r:id="rId2179" xr:uid="{00000000-0004-0000-0200-000082080000}"/>
    <hyperlink ref="G1927" r:id="rId2180" xr:uid="{00000000-0004-0000-0200-000083080000}"/>
    <hyperlink ref="F1928" r:id="rId2181" xr:uid="{00000000-0004-0000-0200-000084080000}"/>
    <hyperlink ref="F1929" r:id="rId2182" xr:uid="{00000000-0004-0000-0200-000085080000}"/>
    <hyperlink ref="F1930" r:id="rId2183" xr:uid="{00000000-0004-0000-0200-000086080000}"/>
    <hyperlink ref="S1930" r:id="rId2184" xr:uid="{00000000-0004-0000-0200-000087080000}"/>
    <hyperlink ref="F1931" r:id="rId2185" xr:uid="{00000000-0004-0000-0200-000088080000}"/>
    <hyperlink ref="G1931" r:id="rId2186" xr:uid="{00000000-0004-0000-0200-000089080000}"/>
    <hyperlink ref="F1932" r:id="rId2187" xr:uid="{00000000-0004-0000-0200-00008A080000}"/>
    <hyperlink ref="S1932" r:id="rId2188" xr:uid="{00000000-0004-0000-0200-00008B080000}"/>
    <hyperlink ref="F1933" r:id="rId2189" xr:uid="{00000000-0004-0000-0200-00008C080000}"/>
    <hyperlink ref="S1933" r:id="rId2190" xr:uid="{00000000-0004-0000-0200-00008D080000}"/>
    <hyperlink ref="G1934" r:id="rId2191" xr:uid="{00000000-0004-0000-0200-00008E080000}"/>
    <hyperlink ref="S1935" r:id="rId2192" location="abelfranc/about" xr:uid="{00000000-0004-0000-0200-00008F080000}"/>
    <hyperlink ref="F1936" r:id="rId2193" xr:uid="{00000000-0004-0000-0200-000090080000}"/>
    <hyperlink ref="S1936" r:id="rId2194" location="!/mercedes.mosquerabango.7?ref=bookmark" xr:uid="{00000000-0004-0000-0200-000091080000}"/>
    <hyperlink ref="F1937" r:id="rId2195" xr:uid="{00000000-0004-0000-0200-000092080000}"/>
    <hyperlink ref="S1937" r:id="rId2196" xr:uid="{00000000-0004-0000-0200-000093080000}"/>
    <hyperlink ref="S1938" r:id="rId2197" xr:uid="{00000000-0004-0000-0200-000094080000}"/>
    <hyperlink ref="F1939" r:id="rId2198" xr:uid="{00000000-0004-0000-0200-000095080000}"/>
    <hyperlink ref="F1940" r:id="rId2199" xr:uid="{00000000-0004-0000-0200-000096080000}"/>
    <hyperlink ref="S1940" r:id="rId2200" xr:uid="{00000000-0004-0000-0200-000097080000}"/>
    <hyperlink ref="G1942" r:id="rId2201" xr:uid="{00000000-0004-0000-0200-000098080000}"/>
    <hyperlink ref="F1943" r:id="rId2202" xr:uid="{00000000-0004-0000-0200-000099080000}"/>
    <hyperlink ref="G1944" r:id="rId2203" xr:uid="{00000000-0004-0000-0200-00009A080000}"/>
    <hyperlink ref="F1946" r:id="rId2204" xr:uid="{00000000-0004-0000-0200-00009B080000}"/>
    <hyperlink ref="G1946" r:id="rId2205" xr:uid="{00000000-0004-0000-0200-00009C080000}"/>
    <hyperlink ref="S1947" r:id="rId2206" xr:uid="{00000000-0004-0000-0200-00009D080000}"/>
    <hyperlink ref="F1948" r:id="rId2207" xr:uid="{00000000-0004-0000-0200-00009E080000}"/>
    <hyperlink ref="G1951" r:id="rId2208" xr:uid="{00000000-0004-0000-0200-00009F080000}"/>
    <hyperlink ref="G1952" r:id="rId2209" xr:uid="{00000000-0004-0000-0200-0000A0080000}"/>
    <hyperlink ref="G1953" r:id="rId2210" xr:uid="{00000000-0004-0000-0200-0000A1080000}"/>
    <hyperlink ref="F1954" r:id="rId2211" xr:uid="{00000000-0004-0000-0200-0000A2080000}"/>
    <hyperlink ref="S1956" r:id="rId2212" xr:uid="{00000000-0004-0000-0200-0000A3080000}"/>
    <hyperlink ref="G1957" r:id="rId2213" xr:uid="{00000000-0004-0000-0200-0000A4080000}"/>
    <hyperlink ref="S1957" r:id="rId2214" xr:uid="{00000000-0004-0000-0200-0000A5080000}"/>
    <hyperlink ref="G1958" r:id="rId2215" xr:uid="{00000000-0004-0000-0200-0000A6080000}"/>
    <hyperlink ref="F1959" r:id="rId2216" xr:uid="{00000000-0004-0000-0200-0000A7080000}"/>
    <hyperlink ref="G1959" r:id="rId2217" xr:uid="{00000000-0004-0000-0200-0000A8080000}"/>
    <hyperlink ref="F1960" r:id="rId2218" xr:uid="{00000000-0004-0000-0200-0000A9080000}"/>
    <hyperlink ref="F1961" r:id="rId2219" location=".XAjMgJcL2tA.facebook" xr:uid="{00000000-0004-0000-0200-0000AA080000}"/>
    <hyperlink ref="S1962" r:id="rId2220" xr:uid="{00000000-0004-0000-0200-0000AB080000}"/>
    <hyperlink ref="F1963" r:id="rId2221" xr:uid="{00000000-0004-0000-0200-0000AC080000}"/>
    <hyperlink ref="G1964" r:id="rId2222" xr:uid="{00000000-0004-0000-0200-0000AD080000}"/>
    <hyperlink ref="S1964" r:id="rId2223" xr:uid="{00000000-0004-0000-0200-0000AE080000}"/>
    <hyperlink ref="F1965" r:id="rId2224" xr:uid="{00000000-0004-0000-0200-0000AF080000}"/>
    <hyperlink ref="G1965" r:id="rId2225" xr:uid="{00000000-0004-0000-0200-0000B0080000}"/>
    <hyperlink ref="S1965" r:id="rId2226" xr:uid="{00000000-0004-0000-0200-0000B1080000}"/>
    <hyperlink ref="F1966" r:id="rId2227" xr:uid="{00000000-0004-0000-0200-0000B2080000}"/>
    <hyperlink ref="G1966" r:id="rId2228" xr:uid="{00000000-0004-0000-0200-0000B3080000}"/>
    <hyperlink ref="S1966" r:id="rId2229" xr:uid="{00000000-0004-0000-0200-0000B4080000}"/>
    <hyperlink ref="F1967" r:id="rId2230" xr:uid="{00000000-0004-0000-0200-0000B5080000}"/>
    <hyperlink ref="G1967" r:id="rId2231" xr:uid="{00000000-0004-0000-0200-0000B6080000}"/>
    <hyperlink ref="F1968" r:id="rId2232" xr:uid="{00000000-0004-0000-0200-0000B7080000}"/>
    <hyperlink ref="F1969" r:id="rId2233" xr:uid="{00000000-0004-0000-0200-0000B8080000}"/>
    <hyperlink ref="G1969" r:id="rId2234" xr:uid="{00000000-0004-0000-0200-0000B9080000}"/>
    <hyperlink ref="G1970" r:id="rId2235" xr:uid="{00000000-0004-0000-0200-0000BA080000}"/>
    <hyperlink ref="S1970" r:id="rId2236" xr:uid="{00000000-0004-0000-0200-0000BB080000}"/>
    <hyperlink ref="F1971" r:id="rId2237" xr:uid="{00000000-0004-0000-0200-0000BC080000}"/>
    <hyperlink ref="S1971" r:id="rId2238" xr:uid="{00000000-0004-0000-0200-0000BD080000}"/>
    <hyperlink ref="S1973" r:id="rId2239" xr:uid="{00000000-0004-0000-0200-0000BE080000}"/>
    <hyperlink ref="F1974" r:id="rId2240" xr:uid="{00000000-0004-0000-0200-0000BF080000}"/>
    <hyperlink ref="S1974" r:id="rId2241" xr:uid="{00000000-0004-0000-0200-0000C0080000}"/>
    <hyperlink ref="F1975" r:id="rId2242" xr:uid="{00000000-0004-0000-0200-0000C1080000}"/>
    <hyperlink ref="F1976" r:id="rId2243" xr:uid="{00000000-0004-0000-0200-0000C2080000}"/>
    <hyperlink ref="F1977" r:id="rId2244" location="ns_campaign=rrss-inducido&amp;ns_mchannel=abcdesevilla-es&amp;ns_source=tw&amp;ns_linkname=noticia-video&amp;ns_fee=0" xr:uid="{00000000-0004-0000-0200-0000C3080000}"/>
    <hyperlink ref="F1979" r:id="rId2245" xr:uid="{00000000-0004-0000-0200-0000C4080000}"/>
    <hyperlink ref="G1979" r:id="rId2246" xr:uid="{00000000-0004-0000-0200-0000C5080000}"/>
    <hyperlink ref="G1980" r:id="rId2247" xr:uid="{00000000-0004-0000-0200-0000C6080000}"/>
    <hyperlink ref="F1981" r:id="rId2248" xr:uid="{00000000-0004-0000-0200-0000C7080000}"/>
    <hyperlink ref="F1982" r:id="rId2249" xr:uid="{00000000-0004-0000-0200-0000C8080000}"/>
    <hyperlink ref="F1983" r:id="rId2250" xr:uid="{00000000-0004-0000-0200-0000C9080000}"/>
    <hyperlink ref="G1983" r:id="rId2251" xr:uid="{00000000-0004-0000-0200-0000CA080000}"/>
    <hyperlink ref="F1984" r:id="rId2252" xr:uid="{00000000-0004-0000-0200-0000CB080000}"/>
    <hyperlink ref="G1984" r:id="rId2253" xr:uid="{00000000-0004-0000-0200-0000CC080000}"/>
    <hyperlink ref="S1984" r:id="rId2254" xr:uid="{00000000-0004-0000-0200-0000CD080000}"/>
    <hyperlink ref="F1985" r:id="rId2255" xr:uid="{00000000-0004-0000-0200-0000CE080000}"/>
    <hyperlink ref="F1986" r:id="rId2256" xr:uid="{00000000-0004-0000-0200-0000CF080000}"/>
    <hyperlink ref="F1989" r:id="rId2257" xr:uid="{00000000-0004-0000-0200-0000D0080000}"/>
    <hyperlink ref="F1990" r:id="rId2258" location="Echobox=1544126759" xr:uid="{00000000-0004-0000-0200-0000D1080000}"/>
    <hyperlink ref="F1992" r:id="rId2259" xr:uid="{00000000-0004-0000-0200-0000D2080000}"/>
    <hyperlink ref="G1992" r:id="rId2260" xr:uid="{00000000-0004-0000-0200-0000D3080000}"/>
    <hyperlink ref="S1992" r:id="rId2261" xr:uid="{00000000-0004-0000-0200-0000D4080000}"/>
    <hyperlink ref="F1993" r:id="rId2262" xr:uid="{00000000-0004-0000-0200-0000D5080000}"/>
    <hyperlink ref="S1993" r:id="rId2263" xr:uid="{00000000-0004-0000-0200-0000D6080000}"/>
    <hyperlink ref="F1994" r:id="rId2264" xr:uid="{00000000-0004-0000-0200-0000D7080000}"/>
    <hyperlink ref="G1994" r:id="rId2265" xr:uid="{00000000-0004-0000-0200-0000D8080000}"/>
    <hyperlink ref="S1994" r:id="rId2266" xr:uid="{00000000-0004-0000-0200-0000D9080000}"/>
    <hyperlink ref="F1995" r:id="rId2267" xr:uid="{00000000-0004-0000-0200-0000DA080000}"/>
    <hyperlink ref="F1996" r:id="rId2268" xr:uid="{00000000-0004-0000-0200-0000DB080000}"/>
    <hyperlink ref="G1996" r:id="rId2269" xr:uid="{00000000-0004-0000-0200-0000DC080000}"/>
    <hyperlink ref="F1998" r:id="rId2270" xr:uid="{00000000-0004-0000-0200-0000DD080000}"/>
    <hyperlink ref="G1998" r:id="rId2271" xr:uid="{00000000-0004-0000-0200-0000DE080000}"/>
    <hyperlink ref="F1999" r:id="rId2272" xr:uid="{00000000-0004-0000-0200-0000DF080000}"/>
    <hyperlink ref="F2000" r:id="rId2273" xr:uid="{00000000-0004-0000-0200-0000E0080000}"/>
    <hyperlink ref="F2001" r:id="rId2274" xr:uid="{00000000-0004-0000-0200-0000E1080000}"/>
    <hyperlink ref="F2004" r:id="rId2275" xr:uid="{00000000-0004-0000-0200-0000E2080000}"/>
    <hyperlink ref="G2004" r:id="rId2276" xr:uid="{00000000-0004-0000-0200-0000E3080000}"/>
    <hyperlink ref="F2006" r:id="rId2277" xr:uid="{00000000-0004-0000-0200-0000E4080000}"/>
    <hyperlink ref="S2007" r:id="rId2278" xr:uid="{00000000-0004-0000-0200-0000E5080000}"/>
    <hyperlink ref="F2008" r:id="rId2279" xr:uid="{00000000-0004-0000-0200-0000E6080000}"/>
    <hyperlink ref="G2008" r:id="rId2280" xr:uid="{00000000-0004-0000-0200-0000E7080000}"/>
    <hyperlink ref="S2008" r:id="rId2281" xr:uid="{00000000-0004-0000-0200-0000E8080000}"/>
    <hyperlink ref="G2009" r:id="rId2282" xr:uid="{00000000-0004-0000-0200-0000E9080000}"/>
    <hyperlink ref="F2011" r:id="rId2283" location="ns_campaign=rrss-inducido&amp;ns_mchannel=abcdesevilla-es&amp;ns_source=tw&amp;ns_linkname=noticia-video&amp;ns_fee=0" xr:uid="{00000000-0004-0000-0200-0000EA080000}"/>
    <hyperlink ref="G2012" r:id="rId2284" xr:uid="{00000000-0004-0000-0200-0000EB080000}"/>
    <hyperlink ref="G2013" r:id="rId2285" xr:uid="{00000000-0004-0000-0200-0000EC080000}"/>
    <hyperlink ref="F2014" r:id="rId2286" xr:uid="{00000000-0004-0000-0200-0000ED080000}"/>
    <hyperlink ref="F2015" r:id="rId2287" xr:uid="{00000000-0004-0000-0200-0000EE080000}"/>
    <hyperlink ref="S2016" r:id="rId2288" xr:uid="{00000000-0004-0000-0200-0000EF080000}"/>
    <hyperlink ref="F2018" r:id="rId2289" xr:uid="{00000000-0004-0000-0200-0000F0080000}"/>
    <hyperlink ref="F2019" r:id="rId2290" xr:uid="{00000000-0004-0000-0200-0000F1080000}"/>
    <hyperlink ref="G2019" r:id="rId2291" xr:uid="{00000000-0004-0000-0200-0000F2080000}"/>
    <hyperlink ref="G2021" r:id="rId2292" xr:uid="{00000000-0004-0000-0200-0000F3080000}"/>
    <hyperlink ref="F2024" r:id="rId2293" xr:uid="{00000000-0004-0000-0200-0000F4080000}"/>
    <hyperlink ref="G2024" r:id="rId2294" xr:uid="{00000000-0004-0000-0200-0000F5080000}"/>
    <hyperlink ref="S2024" r:id="rId2295" xr:uid="{00000000-0004-0000-0200-0000F6080000}"/>
    <hyperlink ref="F2025" r:id="rId2296" xr:uid="{00000000-0004-0000-0200-0000F7080000}"/>
    <hyperlink ref="G2025" r:id="rId2297" xr:uid="{00000000-0004-0000-0200-0000F8080000}"/>
    <hyperlink ref="F2026" r:id="rId2298" xr:uid="{00000000-0004-0000-0200-0000F9080000}"/>
    <hyperlink ref="F2029" r:id="rId2299" xr:uid="{00000000-0004-0000-0200-0000FA080000}"/>
    <hyperlink ref="F2031" r:id="rId2300" xr:uid="{00000000-0004-0000-0200-0000FB080000}"/>
    <hyperlink ref="F2032" r:id="rId2301" xr:uid="{00000000-0004-0000-0200-0000FC080000}"/>
    <hyperlink ref="G2032" r:id="rId2302" xr:uid="{00000000-0004-0000-0200-0000FD080000}"/>
    <hyperlink ref="S2032" r:id="rId2303" xr:uid="{00000000-0004-0000-0200-0000FE080000}"/>
    <hyperlink ref="F2033" r:id="rId2304" xr:uid="{00000000-0004-0000-0200-0000FF080000}"/>
    <hyperlink ref="G2035" r:id="rId2305" xr:uid="{00000000-0004-0000-0200-000000090000}"/>
    <hyperlink ref="S2035" r:id="rId2306" xr:uid="{00000000-0004-0000-0200-000001090000}"/>
    <hyperlink ref="G2036" r:id="rId2307" xr:uid="{00000000-0004-0000-0200-000002090000}"/>
    <hyperlink ref="S2036" r:id="rId2308" xr:uid="{00000000-0004-0000-0200-000003090000}"/>
    <hyperlink ref="G2037" r:id="rId2309" xr:uid="{00000000-0004-0000-0200-000004090000}"/>
    <hyperlink ref="S2037" r:id="rId2310" xr:uid="{00000000-0004-0000-0200-000005090000}"/>
    <hyperlink ref="F2038" r:id="rId2311" xr:uid="{00000000-0004-0000-0200-000006090000}"/>
    <hyperlink ref="F2039" r:id="rId2312" xr:uid="{00000000-0004-0000-0200-000007090000}"/>
    <hyperlink ref="S2039" r:id="rId2313" xr:uid="{00000000-0004-0000-0200-000008090000}"/>
    <hyperlink ref="F2041" r:id="rId2314" xr:uid="{00000000-0004-0000-0200-000009090000}"/>
    <hyperlink ref="F2042" r:id="rId2315" xr:uid="{00000000-0004-0000-0200-00000A090000}"/>
    <hyperlink ref="G2042" r:id="rId2316" xr:uid="{00000000-0004-0000-0200-00000B090000}"/>
    <hyperlink ref="G2044" r:id="rId2317" xr:uid="{00000000-0004-0000-0200-00000C090000}"/>
    <hyperlink ref="F2045" r:id="rId2318" xr:uid="{00000000-0004-0000-0200-00000D090000}"/>
    <hyperlink ref="F2046" r:id="rId2319" xr:uid="{00000000-0004-0000-0200-00000E090000}"/>
    <hyperlink ref="F2048" r:id="rId2320" xr:uid="{00000000-0004-0000-0200-00000F090000}"/>
    <hyperlink ref="G2048" r:id="rId2321" xr:uid="{00000000-0004-0000-0200-000010090000}"/>
    <hyperlink ref="F2049" r:id="rId2322" xr:uid="{00000000-0004-0000-0200-000011090000}"/>
    <hyperlink ref="F2050" r:id="rId2323" xr:uid="{00000000-0004-0000-0200-000012090000}"/>
    <hyperlink ref="G2050" r:id="rId2324" xr:uid="{00000000-0004-0000-0200-000013090000}"/>
    <hyperlink ref="S2050" r:id="rId2325" xr:uid="{00000000-0004-0000-0200-000014090000}"/>
    <hyperlink ref="G2051" r:id="rId2326" xr:uid="{00000000-0004-0000-0200-000015090000}"/>
    <hyperlink ref="F2052" r:id="rId2327" xr:uid="{00000000-0004-0000-0200-000016090000}"/>
    <hyperlink ref="G2052" r:id="rId2328" xr:uid="{00000000-0004-0000-0200-000017090000}"/>
    <hyperlink ref="G2054" r:id="rId2329" xr:uid="{00000000-0004-0000-0200-000018090000}"/>
    <hyperlink ref="F2055" r:id="rId2330" xr:uid="{00000000-0004-0000-0200-000019090000}"/>
    <hyperlink ref="G2055" r:id="rId2331" xr:uid="{00000000-0004-0000-0200-00001A090000}"/>
    <hyperlink ref="F2056" r:id="rId2332" xr:uid="{00000000-0004-0000-0200-00001B090000}"/>
    <hyperlink ref="G2057" r:id="rId2333" xr:uid="{00000000-0004-0000-0200-00001C090000}"/>
    <hyperlink ref="S2057" r:id="rId2334" xr:uid="{00000000-0004-0000-0200-00001D090000}"/>
    <hyperlink ref="F2058" r:id="rId2335" xr:uid="{00000000-0004-0000-0200-00001E090000}"/>
    <hyperlink ref="G2059" r:id="rId2336" xr:uid="{00000000-0004-0000-0200-00001F090000}"/>
    <hyperlink ref="S2059" r:id="rId2337" xr:uid="{00000000-0004-0000-0200-000020090000}"/>
    <hyperlink ref="F2060" r:id="rId2338" xr:uid="{00000000-0004-0000-0200-000021090000}"/>
    <hyperlink ref="F2062" r:id="rId2339" location="Echobox=1544129029" xr:uid="{00000000-0004-0000-0200-000022090000}"/>
    <hyperlink ref="S2062" r:id="rId2340" xr:uid="{00000000-0004-0000-0200-000023090000}"/>
    <hyperlink ref="F2064" r:id="rId2341" xr:uid="{00000000-0004-0000-0200-000024090000}"/>
    <hyperlink ref="F2065" r:id="rId2342" xr:uid="{00000000-0004-0000-0200-000025090000}"/>
    <hyperlink ref="F2066" r:id="rId2343" xr:uid="{00000000-0004-0000-0200-000026090000}"/>
    <hyperlink ref="S2067" r:id="rId2344" xr:uid="{00000000-0004-0000-0200-000027090000}"/>
    <hyperlink ref="G2068" r:id="rId2345" xr:uid="{00000000-0004-0000-0200-000028090000}"/>
    <hyperlink ref="F2069" r:id="rId2346" xr:uid="{00000000-0004-0000-0200-000029090000}"/>
    <hyperlink ref="F2073" r:id="rId2347" xr:uid="{00000000-0004-0000-0200-00002A090000}"/>
    <hyperlink ref="S2074" r:id="rId2348" xr:uid="{00000000-0004-0000-0200-00002B090000}"/>
    <hyperlink ref="F2075" r:id="rId2349" xr:uid="{00000000-0004-0000-0200-00002C090000}"/>
    <hyperlink ref="G2075" r:id="rId2350" xr:uid="{00000000-0004-0000-0200-00002D090000}"/>
    <hyperlink ref="G2076" r:id="rId2351" xr:uid="{00000000-0004-0000-0200-00002E090000}"/>
    <hyperlink ref="F2078" r:id="rId2352" xr:uid="{00000000-0004-0000-0200-00002F090000}"/>
    <hyperlink ref="G2078" r:id="rId2353" xr:uid="{00000000-0004-0000-0200-000030090000}"/>
    <hyperlink ref="G2079" r:id="rId2354" xr:uid="{00000000-0004-0000-0200-000031090000}"/>
    <hyperlink ref="F2080" r:id="rId2355" xr:uid="{00000000-0004-0000-0200-000032090000}"/>
    <hyperlink ref="G2080" r:id="rId2356" xr:uid="{00000000-0004-0000-0200-000033090000}"/>
    <hyperlink ref="S2080" r:id="rId2357" xr:uid="{00000000-0004-0000-0200-000034090000}"/>
    <hyperlink ref="F2081" r:id="rId2358" xr:uid="{00000000-0004-0000-0200-000035090000}"/>
    <hyperlink ref="F2083" r:id="rId2359" xr:uid="{00000000-0004-0000-0200-000036090000}"/>
    <hyperlink ref="F2084" r:id="rId2360" xr:uid="{00000000-0004-0000-0200-000037090000}"/>
    <hyperlink ref="S2084" r:id="rId2361" xr:uid="{00000000-0004-0000-0200-000038090000}"/>
    <hyperlink ref="F2085" r:id="rId2362" xr:uid="{00000000-0004-0000-0200-000039090000}"/>
    <hyperlink ref="F2086" r:id="rId2363" xr:uid="{00000000-0004-0000-0200-00003A090000}"/>
    <hyperlink ref="G2088" r:id="rId2364" xr:uid="{00000000-0004-0000-0200-00003B090000}"/>
    <hyperlink ref="F2091" r:id="rId2365" xr:uid="{00000000-0004-0000-0200-00003C090000}"/>
    <hyperlink ref="G2091" r:id="rId2366" xr:uid="{00000000-0004-0000-0200-00003D090000}"/>
    <hyperlink ref="F2092" r:id="rId2367" xr:uid="{00000000-0004-0000-0200-00003E090000}"/>
    <hyperlink ref="F2093" r:id="rId2368" xr:uid="{00000000-0004-0000-0200-00003F090000}"/>
    <hyperlink ref="F2094" r:id="rId2369" xr:uid="{00000000-0004-0000-0200-000040090000}"/>
    <hyperlink ref="G2094" r:id="rId2370" xr:uid="{00000000-0004-0000-0200-000041090000}"/>
    <hyperlink ref="S2094" r:id="rId2371" xr:uid="{00000000-0004-0000-0200-000042090000}"/>
    <hyperlink ref="F2097" r:id="rId2372" xr:uid="{00000000-0004-0000-0200-000043090000}"/>
    <hyperlink ref="G2098" r:id="rId2373" xr:uid="{00000000-0004-0000-0200-000044090000}"/>
    <hyperlink ref="F2099" r:id="rId2374" xr:uid="{00000000-0004-0000-0200-000045090000}"/>
    <hyperlink ref="F2100" r:id="rId2375" xr:uid="{00000000-0004-0000-0200-000046090000}"/>
    <hyperlink ref="S2101" r:id="rId2376" xr:uid="{00000000-0004-0000-0200-000047090000}"/>
    <hyperlink ref="G2102" r:id="rId2377" xr:uid="{00000000-0004-0000-0200-000048090000}"/>
    <hyperlink ref="F2103" r:id="rId2378" xr:uid="{00000000-0004-0000-0200-000049090000}"/>
    <hyperlink ref="F2104" r:id="rId2379" location=".XAmITroLJiU.twitter" xr:uid="{00000000-0004-0000-0200-00004A090000}"/>
    <hyperlink ref="S2104" r:id="rId2380" xr:uid="{00000000-0004-0000-0200-00004B090000}"/>
    <hyperlink ref="S2105" r:id="rId2381" xr:uid="{00000000-0004-0000-0200-00004C090000}"/>
    <hyperlink ref="F2106" r:id="rId2382" xr:uid="{00000000-0004-0000-0200-00004D090000}"/>
    <hyperlink ref="G2106" r:id="rId2383" xr:uid="{00000000-0004-0000-0200-00004E090000}"/>
    <hyperlink ref="S2106" r:id="rId2384" xr:uid="{00000000-0004-0000-0200-00004F090000}"/>
    <hyperlink ref="G2108" r:id="rId2385" xr:uid="{00000000-0004-0000-0200-000050090000}"/>
    <hyperlink ref="F2109" r:id="rId2386" xr:uid="{00000000-0004-0000-0200-000051090000}"/>
    <hyperlink ref="F2111" r:id="rId2387" xr:uid="{00000000-0004-0000-0200-000052090000}"/>
    <hyperlink ref="G2111" r:id="rId2388" xr:uid="{00000000-0004-0000-0200-000053090000}"/>
    <hyperlink ref="G2112" r:id="rId2389" xr:uid="{00000000-0004-0000-0200-000054090000}"/>
    <hyperlink ref="F2113" r:id="rId2390" xr:uid="{00000000-0004-0000-0200-000055090000}"/>
    <hyperlink ref="G2114" r:id="rId2391" xr:uid="{00000000-0004-0000-0200-000056090000}"/>
    <hyperlink ref="F2116" r:id="rId2392" xr:uid="{00000000-0004-0000-0200-000057090000}"/>
    <hyperlink ref="F2118" r:id="rId2393" location=".XAmHIJwNfFs.twitter" xr:uid="{00000000-0004-0000-0200-000058090000}"/>
    <hyperlink ref="F2119" r:id="rId2394" location=".XAmHE3-Qkjc.twitter" xr:uid="{00000000-0004-0000-0200-000059090000}"/>
    <hyperlink ref="F2120" r:id="rId2395" xr:uid="{00000000-0004-0000-0200-00005A090000}"/>
    <hyperlink ref="F2121" r:id="rId2396" xr:uid="{00000000-0004-0000-0200-00005B090000}"/>
    <hyperlink ref="F2122" r:id="rId2397" xr:uid="{00000000-0004-0000-0200-00005C090000}"/>
    <hyperlink ref="G2122" r:id="rId2398" xr:uid="{00000000-0004-0000-0200-00005D090000}"/>
    <hyperlink ref="G2123" r:id="rId2399" xr:uid="{00000000-0004-0000-0200-00005E090000}"/>
    <hyperlink ref="G2125" r:id="rId2400" xr:uid="{00000000-0004-0000-0200-00005F090000}"/>
    <hyperlink ref="S2125" r:id="rId2401" xr:uid="{00000000-0004-0000-0200-000060090000}"/>
    <hyperlink ref="G2126" r:id="rId2402" xr:uid="{00000000-0004-0000-0200-000061090000}"/>
    <hyperlink ref="F2132" r:id="rId2403" xr:uid="{00000000-0004-0000-0200-000062090000}"/>
    <hyperlink ref="G2133" r:id="rId2404" xr:uid="{00000000-0004-0000-0200-000063090000}"/>
    <hyperlink ref="S2133" r:id="rId2405" xr:uid="{00000000-0004-0000-0200-000064090000}"/>
    <hyperlink ref="C2134" r:id="rId2406" xr:uid="{00000000-0004-0000-0200-000065090000}"/>
    <hyperlink ref="F2134" r:id="rId2407" xr:uid="{00000000-0004-0000-0200-000066090000}"/>
    <hyperlink ref="S2134" r:id="rId2408" xr:uid="{00000000-0004-0000-0200-000067090000}"/>
    <hyperlink ref="G2135" r:id="rId2409" xr:uid="{00000000-0004-0000-0200-000068090000}"/>
    <hyperlink ref="S2135" r:id="rId2410" xr:uid="{00000000-0004-0000-0200-000069090000}"/>
    <hyperlink ref="F2139" r:id="rId2411" xr:uid="{00000000-0004-0000-0200-00006A090000}"/>
    <hyperlink ref="F2141" r:id="rId2412" xr:uid="{00000000-0004-0000-0200-00006B090000}"/>
    <hyperlink ref="F2143" r:id="rId2413" xr:uid="{00000000-0004-0000-0200-00006C090000}"/>
    <hyperlink ref="G2143" r:id="rId2414" xr:uid="{00000000-0004-0000-0200-00006D090000}"/>
    <hyperlink ref="F2144" r:id="rId2415" xr:uid="{00000000-0004-0000-0200-00006E090000}"/>
    <hyperlink ref="G2144" r:id="rId2416" xr:uid="{00000000-0004-0000-0200-00006F090000}"/>
    <hyperlink ref="F2145" r:id="rId2417" xr:uid="{00000000-0004-0000-0200-000070090000}"/>
    <hyperlink ref="S2146" r:id="rId2418" xr:uid="{00000000-0004-0000-0200-000071090000}"/>
    <hyperlink ref="F2148" r:id="rId2419" xr:uid="{00000000-0004-0000-0200-000072090000}"/>
    <hyperlink ref="F2153" r:id="rId2420" xr:uid="{00000000-0004-0000-0200-000073090000}"/>
    <hyperlink ref="G2156" r:id="rId2421" xr:uid="{00000000-0004-0000-0200-000074090000}"/>
    <hyperlink ref="G2157" r:id="rId2422" xr:uid="{00000000-0004-0000-0200-000075090000}"/>
    <hyperlink ref="S2158" r:id="rId2423" xr:uid="{00000000-0004-0000-0200-000076090000}"/>
    <hyperlink ref="F2161" r:id="rId2424" xr:uid="{00000000-0004-0000-0200-000077090000}"/>
    <hyperlink ref="F2164" r:id="rId2425" xr:uid="{00000000-0004-0000-0200-000078090000}"/>
    <hyperlink ref="F2165" r:id="rId2426" xr:uid="{00000000-0004-0000-0200-000079090000}"/>
    <hyperlink ref="C2166" r:id="rId2427" xr:uid="{00000000-0004-0000-0200-00007A090000}"/>
    <hyperlink ref="F2166" r:id="rId2428" xr:uid="{00000000-0004-0000-0200-00007B090000}"/>
    <hyperlink ref="G2166" r:id="rId2429" xr:uid="{00000000-0004-0000-0200-00007C090000}"/>
    <hyperlink ref="S2166" r:id="rId2430" xr:uid="{00000000-0004-0000-0200-00007D090000}"/>
    <hyperlink ref="F2168" r:id="rId2431" xr:uid="{00000000-0004-0000-0200-00007E090000}"/>
    <hyperlink ref="G2170" r:id="rId2432" xr:uid="{00000000-0004-0000-0200-00007F090000}"/>
    <hyperlink ref="F2171" r:id="rId2433" xr:uid="{00000000-0004-0000-0200-000080090000}"/>
    <hyperlink ref="G2171" r:id="rId2434" xr:uid="{00000000-0004-0000-0200-000081090000}"/>
    <hyperlink ref="F2172" r:id="rId2435" xr:uid="{00000000-0004-0000-0200-000082090000}"/>
    <hyperlink ref="G2172" r:id="rId2436" xr:uid="{00000000-0004-0000-0200-000083090000}"/>
    <hyperlink ref="S2172" r:id="rId2437" xr:uid="{00000000-0004-0000-0200-000084090000}"/>
    <hyperlink ref="F2173" r:id="rId2438" xr:uid="{00000000-0004-0000-0200-000085090000}"/>
    <hyperlink ref="G2173" r:id="rId2439" xr:uid="{00000000-0004-0000-0200-000086090000}"/>
    <hyperlink ref="S2173" r:id="rId2440" xr:uid="{00000000-0004-0000-0200-000087090000}"/>
    <hyperlink ref="F2174" r:id="rId2441" xr:uid="{00000000-0004-0000-0200-000088090000}"/>
    <hyperlink ref="G2178" r:id="rId2442" xr:uid="{00000000-0004-0000-0200-000089090000}"/>
    <hyperlink ref="F2179" r:id="rId2443" xr:uid="{00000000-0004-0000-0200-00008A090000}"/>
    <hyperlink ref="G2180" r:id="rId2444" xr:uid="{00000000-0004-0000-0200-00008B090000}"/>
    <hyperlink ref="F2182" r:id="rId2445" xr:uid="{00000000-0004-0000-0200-00008C090000}"/>
    <hyperlink ref="S2184" r:id="rId2446" xr:uid="{00000000-0004-0000-0200-00008D090000}"/>
    <hyperlink ref="F2185" r:id="rId2447" xr:uid="{00000000-0004-0000-0200-00008E090000}"/>
    <hyperlink ref="S2185" r:id="rId2448" xr:uid="{00000000-0004-0000-0200-00008F090000}"/>
    <hyperlink ref="F2188" r:id="rId2449" xr:uid="{00000000-0004-0000-0200-000090090000}"/>
    <hyperlink ref="F2191" r:id="rId2450" xr:uid="{00000000-0004-0000-0200-000091090000}"/>
    <hyperlink ref="G2192" r:id="rId2451" xr:uid="{00000000-0004-0000-0200-000092090000}"/>
    <hyperlink ref="F2193" r:id="rId2452" xr:uid="{00000000-0004-0000-0200-000093090000}"/>
    <hyperlink ref="F2194" r:id="rId2453" xr:uid="{00000000-0004-0000-0200-000094090000}"/>
    <hyperlink ref="G2194" r:id="rId2454" xr:uid="{00000000-0004-0000-0200-000095090000}"/>
    <hyperlink ref="F2196" r:id="rId2455" xr:uid="{00000000-0004-0000-0200-000096090000}"/>
    <hyperlink ref="F2197" r:id="rId2456" xr:uid="{00000000-0004-0000-0200-000097090000}"/>
    <hyperlink ref="G2198" r:id="rId2457" xr:uid="{00000000-0004-0000-0200-000098090000}"/>
    <hyperlink ref="F2200" r:id="rId2458" xr:uid="{00000000-0004-0000-0200-000099090000}"/>
    <hyperlink ref="G2201" r:id="rId2459" xr:uid="{00000000-0004-0000-0200-00009A090000}"/>
    <hyperlink ref="F2202" r:id="rId2460" xr:uid="{00000000-0004-0000-0200-00009B090000}"/>
    <hyperlink ref="F2203" r:id="rId2461" xr:uid="{00000000-0004-0000-0200-00009C090000}"/>
    <hyperlink ref="G2203" r:id="rId2462" xr:uid="{00000000-0004-0000-0200-00009D090000}"/>
    <hyperlink ref="F2206" r:id="rId2463" xr:uid="{00000000-0004-0000-0200-00009E090000}"/>
    <hyperlink ref="F2208" r:id="rId2464" xr:uid="{00000000-0004-0000-0200-00009F090000}"/>
    <hyperlink ref="F2212" r:id="rId2465" xr:uid="{00000000-0004-0000-0200-0000A0090000}"/>
    <hyperlink ref="S2212" r:id="rId2466" xr:uid="{00000000-0004-0000-0200-0000A1090000}"/>
    <hyperlink ref="F2213" r:id="rId2467" xr:uid="{00000000-0004-0000-0200-0000A2090000}"/>
    <hyperlink ref="F2214" r:id="rId2468" location="Echobox=1544119772" xr:uid="{00000000-0004-0000-0200-0000A3090000}"/>
    <hyperlink ref="F2216" r:id="rId2469" xr:uid="{00000000-0004-0000-0200-0000A4090000}"/>
    <hyperlink ref="G2216" r:id="rId2470" xr:uid="{00000000-0004-0000-0200-0000A5090000}"/>
    <hyperlink ref="S2217" r:id="rId2471" xr:uid="{00000000-0004-0000-0200-0000A6090000}"/>
    <hyperlink ref="F2218" r:id="rId2472" xr:uid="{00000000-0004-0000-0200-0000A7090000}"/>
    <hyperlink ref="G2218" r:id="rId2473" xr:uid="{00000000-0004-0000-0200-0000A8090000}"/>
    <hyperlink ref="F2219" r:id="rId2474" xr:uid="{00000000-0004-0000-0200-0000A9090000}"/>
    <hyperlink ref="F2220" r:id="rId2475" xr:uid="{00000000-0004-0000-0200-0000AA090000}"/>
    <hyperlink ref="G2220" r:id="rId2476" xr:uid="{00000000-0004-0000-0200-0000AB090000}"/>
    <hyperlink ref="S2220" r:id="rId2477" xr:uid="{00000000-0004-0000-0200-0000AC090000}"/>
    <hyperlink ref="F2222" r:id="rId2478" xr:uid="{00000000-0004-0000-0200-0000AD090000}"/>
    <hyperlink ref="G2222" r:id="rId2479" xr:uid="{00000000-0004-0000-0200-0000AE090000}"/>
    <hyperlink ref="F2224" r:id="rId2480" xr:uid="{00000000-0004-0000-0200-0000AF090000}"/>
    <hyperlink ref="G2224" r:id="rId2481" xr:uid="{00000000-0004-0000-0200-0000B0090000}"/>
    <hyperlink ref="G2226" r:id="rId2482" xr:uid="{00000000-0004-0000-0200-0000B1090000}"/>
    <hyperlink ref="G2228" r:id="rId2483" xr:uid="{00000000-0004-0000-0200-0000B2090000}"/>
    <hyperlink ref="G2230" r:id="rId2484" xr:uid="{00000000-0004-0000-0200-0000B3090000}"/>
    <hyperlink ref="G2231" r:id="rId2485" xr:uid="{00000000-0004-0000-0200-0000B4090000}"/>
    <hyperlink ref="F2232" r:id="rId2486" xr:uid="{00000000-0004-0000-0200-0000B5090000}"/>
    <hyperlink ref="G2232" r:id="rId2487" xr:uid="{00000000-0004-0000-0200-0000B6090000}"/>
    <hyperlink ref="F2233" r:id="rId2488" xr:uid="{00000000-0004-0000-0200-0000B7090000}"/>
    <hyperlink ref="G2233" r:id="rId2489" xr:uid="{00000000-0004-0000-0200-0000B8090000}"/>
    <hyperlink ref="F2234" r:id="rId2490" xr:uid="{00000000-0004-0000-0200-0000B9090000}"/>
    <hyperlink ref="F2235" r:id="rId2491" xr:uid="{00000000-0004-0000-0200-0000BA090000}"/>
    <hyperlink ref="F2236" r:id="rId2492" xr:uid="{00000000-0004-0000-0200-0000BB090000}"/>
    <hyperlink ref="G2236" r:id="rId2493" xr:uid="{00000000-0004-0000-0200-0000BC090000}"/>
    <hyperlink ref="S2236" r:id="rId2494" xr:uid="{00000000-0004-0000-0200-0000BD090000}"/>
    <hyperlink ref="G2238" r:id="rId2495" xr:uid="{00000000-0004-0000-0200-0000BE090000}"/>
    <hyperlink ref="S2238" r:id="rId2496" xr:uid="{00000000-0004-0000-0200-0000BF090000}"/>
    <hyperlink ref="F2239" r:id="rId2497" xr:uid="{00000000-0004-0000-0200-0000C0090000}"/>
    <hyperlink ref="F2240" r:id="rId2498" xr:uid="{00000000-0004-0000-0200-0000C1090000}"/>
    <hyperlink ref="G2240" r:id="rId2499" xr:uid="{00000000-0004-0000-0200-0000C2090000}"/>
    <hyperlink ref="G2241" r:id="rId2500" xr:uid="{00000000-0004-0000-0200-0000C3090000}"/>
    <hyperlink ref="F2243" r:id="rId2501" xr:uid="{00000000-0004-0000-0200-0000C4090000}"/>
    <hyperlink ref="F2244" r:id="rId2502" xr:uid="{00000000-0004-0000-0200-0000C5090000}"/>
    <hyperlink ref="S2244" r:id="rId2503" xr:uid="{00000000-0004-0000-0200-0000C6090000}"/>
    <hyperlink ref="F2245" r:id="rId2504" xr:uid="{00000000-0004-0000-0200-0000C7090000}"/>
    <hyperlink ref="F2246" r:id="rId2505" xr:uid="{00000000-0004-0000-0200-0000C8090000}"/>
    <hyperlink ref="F2247" r:id="rId2506" xr:uid="{00000000-0004-0000-0200-0000C9090000}"/>
    <hyperlink ref="F2248" r:id="rId2507" xr:uid="{00000000-0004-0000-0200-0000CA090000}"/>
    <hyperlink ref="G2249" r:id="rId2508" xr:uid="{00000000-0004-0000-0200-0000CB090000}"/>
    <hyperlink ref="F2251" r:id="rId2509" xr:uid="{00000000-0004-0000-0200-0000CC090000}"/>
    <hyperlink ref="F2252" r:id="rId2510" xr:uid="{00000000-0004-0000-0200-0000CD090000}"/>
    <hyperlink ref="G2253" r:id="rId2511" xr:uid="{00000000-0004-0000-0200-0000CE090000}"/>
    <hyperlink ref="C2254" r:id="rId2512" xr:uid="{00000000-0004-0000-0200-0000CF090000}"/>
    <hyperlink ref="F2254" r:id="rId2513" xr:uid="{00000000-0004-0000-0200-0000D0090000}"/>
    <hyperlink ref="S2254" r:id="rId2514" xr:uid="{00000000-0004-0000-0200-0000D1090000}"/>
    <hyperlink ref="F2255" r:id="rId2515" xr:uid="{00000000-0004-0000-0200-0000D2090000}"/>
    <hyperlink ref="S2256" r:id="rId2516" xr:uid="{00000000-0004-0000-0200-0000D3090000}"/>
    <hyperlink ref="F2258" r:id="rId2517" xr:uid="{00000000-0004-0000-0200-0000D4090000}"/>
    <hyperlink ref="F2259" r:id="rId2518" xr:uid="{00000000-0004-0000-0200-0000D5090000}"/>
    <hyperlink ref="F2260" r:id="rId2519" xr:uid="{00000000-0004-0000-0200-0000D6090000}"/>
    <hyperlink ref="G2260" r:id="rId2520" xr:uid="{00000000-0004-0000-0200-0000D7090000}"/>
    <hyperlink ref="S2261" r:id="rId2521" xr:uid="{00000000-0004-0000-0200-0000D8090000}"/>
    <hyperlink ref="F2262" r:id="rId2522" xr:uid="{00000000-0004-0000-0200-0000D9090000}"/>
    <hyperlink ref="F2264" r:id="rId2523" xr:uid="{00000000-0004-0000-0200-0000DA090000}"/>
    <hyperlink ref="G2266" r:id="rId2524" xr:uid="{00000000-0004-0000-0200-0000DB090000}"/>
    <hyperlink ref="F2267" r:id="rId2525" xr:uid="{00000000-0004-0000-0200-0000DC090000}"/>
    <hyperlink ref="F2268" r:id="rId2526" xr:uid="{00000000-0004-0000-0200-0000DD090000}"/>
    <hyperlink ref="F2269" r:id="rId2527" xr:uid="{00000000-0004-0000-0200-0000DE090000}"/>
    <hyperlink ref="G2269" r:id="rId2528" xr:uid="{00000000-0004-0000-0200-0000DF090000}"/>
    <hyperlink ref="F2270" r:id="rId2529" xr:uid="{00000000-0004-0000-0200-0000E0090000}"/>
    <hyperlink ref="S2270" r:id="rId2530" xr:uid="{00000000-0004-0000-0200-0000E1090000}"/>
    <hyperlink ref="S2271" r:id="rId2531" xr:uid="{00000000-0004-0000-0200-0000E2090000}"/>
    <hyperlink ref="F2273" r:id="rId2532" xr:uid="{00000000-0004-0000-0200-0000E3090000}"/>
    <hyperlink ref="F2276" r:id="rId2533" xr:uid="{00000000-0004-0000-0200-0000E4090000}"/>
    <hyperlink ref="G2276" r:id="rId2534" xr:uid="{00000000-0004-0000-0200-0000E5090000}"/>
    <hyperlink ref="F2277" r:id="rId2535" xr:uid="{00000000-0004-0000-0200-0000E6090000}"/>
    <hyperlink ref="F2278" r:id="rId2536" xr:uid="{00000000-0004-0000-0200-0000E7090000}"/>
    <hyperlink ref="F2279" r:id="rId2537" xr:uid="{00000000-0004-0000-0200-0000E8090000}"/>
    <hyperlink ref="G2279" r:id="rId2538" xr:uid="{00000000-0004-0000-0200-0000E9090000}"/>
    <hyperlink ref="F2281" r:id="rId2539" location=".XAl2PZFbABQ.twitter" xr:uid="{00000000-0004-0000-0200-0000EA090000}"/>
    <hyperlink ref="G2282" r:id="rId2540" xr:uid="{00000000-0004-0000-0200-0000EB090000}"/>
    <hyperlink ref="S2282" r:id="rId2541" xr:uid="{00000000-0004-0000-0200-0000EC090000}"/>
    <hyperlink ref="G2284" r:id="rId2542" xr:uid="{00000000-0004-0000-0200-0000ED090000}"/>
    <hyperlink ref="S2285" r:id="rId2543" xr:uid="{00000000-0004-0000-0200-0000EE090000}"/>
    <hyperlink ref="G2286" r:id="rId2544" xr:uid="{00000000-0004-0000-0200-0000EF090000}"/>
    <hyperlink ref="S2286" r:id="rId2545" xr:uid="{00000000-0004-0000-0200-0000F0090000}"/>
    <hyperlink ref="G2287" r:id="rId2546" xr:uid="{00000000-0004-0000-0200-0000F1090000}"/>
    <hyperlink ref="F2288" r:id="rId2547" xr:uid="{00000000-0004-0000-0200-0000F2090000}"/>
    <hyperlink ref="G2288" r:id="rId2548" xr:uid="{00000000-0004-0000-0200-0000F3090000}"/>
    <hyperlink ref="F2289" r:id="rId2549" xr:uid="{00000000-0004-0000-0200-0000F4090000}"/>
    <hyperlink ref="S2289" r:id="rId2550" xr:uid="{00000000-0004-0000-0200-0000F5090000}"/>
    <hyperlink ref="G2290" r:id="rId2551" xr:uid="{00000000-0004-0000-0200-0000F6090000}"/>
    <hyperlink ref="G2291" r:id="rId2552" xr:uid="{00000000-0004-0000-0200-0000F7090000}"/>
    <hyperlink ref="F2292" r:id="rId2553" xr:uid="{00000000-0004-0000-0200-0000F8090000}"/>
    <hyperlink ref="F2294" r:id="rId2554" xr:uid="{00000000-0004-0000-0200-0000F9090000}"/>
    <hyperlink ref="F2295" r:id="rId2555" xr:uid="{00000000-0004-0000-0200-0000FA090000}"/>
    <hyperlink ref="S2295" r:id="rId2556" xr:uid="{00000000-0004-0000-0200-0000FB090000}"/>
    <hyperlink ref="F2296" r:id="rId2557" xr:uid="{00000000-0004-0000-0200-0000FC090000}"/>
    <hyperlink ref="G2296" r:id="rId2558" xr:uid="{00000000-0004-0000-0200-0000FD090000}"/>
    <hyperlink ref="F2297" r:id="rId2559" xr:uid="{00000000-0004-0000-0200-0000FE090000}"/>
    <hyperlink ref="S2297" r:id="rId2560" xr:uid="{00000000-0004-0000-0200-0000FF090000}"/>
    <hyperlink ref="F2298" r:id="rId2561" xr:uid="{00000000-0004-0000-0200-0000000A0000}"/>
    <hyperlink ref="S2299" r:id="rId2562" xr:uid="{00000000-0004-0000-0200-0000010A0000}"/>
    <hyperlink ref="F2300" r:id="rId2563" xr:uid="{00000000-0004-0000-0200-0000020A0000}"/>
    <hyperlink ref="S2300" r:id="rId2564" xr:uid="{00000000-0004-0000-0200-0000030A0000}"/>
    <hyperlink ref="F2301" r:id="rId2565" xr:uid="{00000000-0004-0000-0200-0000040A0000}"/>
    <hyperlink ref="F2302" r:id="rId2566" location="xtor=AD-15&amp;xts=467263" xr:uid="{00000000-0004-0000-0200-0000050A0000}"/>
    <hyperlink ref="G2302" r:id="rId2567" xr:uid="{00000000-0004-0000-0200-0000060A0000}"/>
    <hyperlink ref="F2304" r:id="rId2568" xr:uid="{00000000-0004-0000-0200-0000070A0000}"/>
    <hyperlink ref="F2305" r:id="rId2569" xr:uid="{00000000-0004-0000-0200-0000080A0000}"/>
    <hyperlink ref="S2305" r:id="rId2570" xr:uid="{00000000-0004-0000-0200-0000090A0000}"/>
    <hyperlink ref="F2306" r:id="rId2571" location=".XAly5CZOij9.twitter" xr:uid="{00000000-0004-0000-0200-00000A0A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Pablo Iglesias langes -filterre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Cañas</cp:lastModifiedBy>
  <dcterms:modified xsi:type="dcterms:W3CDTF">2018-12-10T18:12:51Z</dcterms:modified>
</cp:coreProperties>
</file>